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jsdshare\045\Feeder LEAD\1-LEAD\Calendars -  Licensed &amp; ESP\2024-25 Calendars\"/>
    </mc:Choice>
  </mc:AlternateContent>
  <xr:revisionPtr revIDLastSave="0" documentId="13_ncr:1_{9FE09713-0841-4E8D-8158-A0EC980EBDE1}" xr6:coauthVersionLast="36" xr6:coauthVersionMax="36" xr10:uidLastSave="{00000000-0000-0000-0000-000000000000}"/>
  <bookViews>
    <workbookView xWindow="-105" yWindow="-105" windowWidth="23250" windowHeight="12570" xr2:uid="{00000000-000D-0000-FFFF-FFFF00000000}"/>
  </bookViews>
  <sheets>
    <sheet name="Instructions" sheetId="2" r:id="rId1"/>
    <sheet name="Flex-Modified Calendar" sheetId="3" r:id="rId2"/>
    <sheet name="Sheet1" sheetId="4" state="hidden" r:id="rId3"/>
  </sheets>
  <definedNames>
    <definedName name="_xlnm._FilterDatabase" localSheetId="2" hidden="1">Sheet1!$O$1:$AC$399</definedName>
    <definedName name="AprOffSet">Sheet1!$I$12</definedName>
    <definedName name="AugOffSet">Sheet1!$I$4</definedName>
    <definedName name="beg">Sheet1!$H$1</definedName>
    <definedName name="BegCalYear">Sheet1!$H$1</definedName>
    <definedName name="DecOffSet">Sheet1!$I$8</definedName>
    <definedName name="EndCalYear">Sheet1!$H$2</definedName>
    <definedName name="FebOffSet">Sheet1!$I$10</definedName>
    <definedName name="JanOffSet">Sheet1!$I$9</definedName>
    <definedName name="July1OffSet">Sheet1!$I$3</definedName>
    <definedName name="JulyOffSet">Sheet1!$I$15</definedName>
    <definedName name="JuneOffSet">Sheet1!$I$14</definedName>
    <definedName name="MarOffSet">Sheet1!$I$11</definedName>
    <definedName name="MayOffSet">Sheet1!$I$13</definedName>
    <definedName name="NovOffSet">Sheet1!$I$7</definedName>
    <definedName name="OctOffSet">Sheet1!$I$6</definedName>
    <definedName name="_xlnm.Print_Area" localSheetId="1">'Flex-Modified Calendar'!$A$1:$AJ$129</definedName>
    <definedName name="_xlnm.Print_Area" localSheetId="0">Instructions!$A$1:$I$23</definedName>
    <definedName name="SeptOffSet">Sheet1!$I$5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5" i="4" l="1"/>
  <c r="AG5" i="4"/>
  <c r="AH5" i="4"/>
  <c r="AI5" i="4"/>
  <c r="AF6" i="4"/>
  <c r="AF7" i="4" s="1"/>
  <c r="AF8" i="4" s="1"/>
  <c r="AF9" i="4" s="1"/>
  <c r="AF10" i="4" s="1"/>
  <c r="AF11" i="4" s="1"/>
  <c r="AF12" i="4" s="1"/>
  <c r="AF13" i="4" s="1"/>
  <c r="AF14" i="4" s="1"/>
  <c r="AF15" i="4" s="1"/>
  <c r="AF16" i="4" s="1"/>
  <c r="AF17" i="4" s="1"/>
  <c r="AF18" i="4" s="1"/>
  <c r="AF19" i="4" s="1"/>
  <c r="AF20" i="4" s="1"/>
  <c r="AF21" i="4" s="1"/>
  <c r="AF22" i="4" s="1"/>
  <c r="AF23" i="4" s="1"/>
  <c r="AF24" i="4" s="1"/>
  <c r="AF25" i="4" s="1"/>
  <c r="AF26" i="4" s="1"/>
  <c r="AG6" i="4"/>
  <c r="AG7" i="4" s="1"/>
  <c r="AG8" i="4" s="1"/>
  <c r="AG9" i="4" s="1"/>
  <c r="AG10" i="4" s="1"/>
  <c r="AG11" i="4" s="1"/>
  <c r="AG12" i="4" s="1"/>
  <c r="AG13" i="4" s="1"/>
  <c r="AG14" i="4" s="1"/>
  <c r="AG15" i="4" s="1"/>
  <c r="AG16" i="4" s="1"/>
  <c r="AG17" i="4" s="1"/>
  <c r="AG18" i="4" s="1"/>
  <c r="AG19" i="4" s="1"/>
  <c r="AG20" i="4" s="1"/>
  <c r="AG21" i="4" s="1"/>
  <c r="AG22" i="4" s="1"/>
  <c r="AG23" i="4" s="1"/>
  <c r="AG24" i="4" s="1"/>
  <c r="AG25" i="4" s="1"/>
  <c r="AG26" i="4" s="1"/>
  <c r="AG27" i="4" s="1"/>
  <c r="AG28" i="4" s="1"/>
  <c r="AG29" i="4" s="1"/>
  <c r="AG30" i="4" s="1"/>
  <c r="AG31" i="4" s="1"/>
  <c r="AG32" i="4" s="1"/>
  <c r="AG33" i="4" s="1"/>
  <c r="AG34" i="4" s="1"/>
  <c r="AG35" i="4" s="1"/>
  <c r="AG36" i="4" s="1"/>
  <c r="AG37" i="4" s="1"/>
  <c r="AG38" i="4" s="1"/>
  <c r="AG39" i="4" s="1"/>
  <c r="AG40" i="4" s="1"/>
  <c r="AG41" i="4" s="1"/>
  <c r="AG42" i="4" s="1"/>
  <c r="AG43" i="4" s="1"/>
  <c r="AG44" i="4" s="1"/>
  <c r="AH6" i="4"/>
  <c r="AH7" i="4" s="1"/>
  <c r="AH8" i="4" s="1"/>
  <c r="AH9" i="4" s="1"/>
  <c r="AH10" i="4" s="1"/>
  <c r="AH11" i="4" s="1"/>
  <c r="AH12" i="4" s="1"/>
  <c r="AH13" i="4" s="1"/>
  <c r="AH14" i="4" s="1"/>
  <c r="AH15" i="4" s="1"/>
  <c r="AH16" i="4" s="1"/>
  <c r="AH17" i="4" s="1"/>
  <c r="AH18" i="4" s="1"/>
  <c r="AH19" i="4" s="1"/>
  <c r="AH20" i="4" s="1"/>
  <c r="AH21" i="4" s="1"/>
  <c r="AH22" i="4" s="1"/>
  <c r="AH23" i="4" s="1"/>
  <c r="AH24" i="4" s="1"/>
  <c r="AH25" i="4" s="1"/>
  <c r="AI6" i="4"/>
  <c r="AI7" i="4" s="1"/>
  <c r="AI8" i="4" s="1"/>
  <c r="AI9" i="4" s="1"/>
  <c r="AI10" i="4" s="1"/>
  <c r="AI11" i="4" s="1"/>
  <c r="AI12" i="4" s="1"/>
  <c r="AI13" i="4" s="1"/>
  <c r="AI14" i="4" s="1"/>
  <c r="AI15" i="4" s="1"/>
  <c r="AI16" i="4" s="1"/>
  <c r="AI17" i="4" s="1"/>
  <c r="AI18" i="4" s="1"/>
  <c r="AI19" i="4" s="1"/>
  <c r="AI20" i="4" s="1"/>
  <c r="AI21" i="4" s="1"/>
  <c r="AI22" i="4" s="1"/>
  <c r="AI23" i="4" s="1"/>
  <c r="AI24" i="4" s="1"/>
  <c r="AI25" i="4" s="1"/>
  <c r="AI26" i="4" s="1"/>
  <c r="AI27" i="4" s="1"/>
  <c r="AI28" i="4" s="1"/>
  <c r="AI29" i="4" s="1"/>
  <c r="AI30" i="4" s="1"/>
  <c r="AI31" i="4" s="1"/>
  <c r="AI32" i="4" s="1"/>
  <c r="AI33" i="4" s="1"/>
  <c r="AI34" i="4" s="1"/>
  <c r="AI35" i="4" s="1"/>
  <c r="AI36" i="4" s="1"/>
  <c r="AI37" i="4" s="1"/>
  <c r="AI38" i="4" s="1"/>
  <c r="AI39" i="4" s="1"/>
  <c r="AI40" i="4" s="1"/>
  <c r="AI41" i="4" s="1"/>
  <c r="AI42" i="4" s="1"/>
  <c r="AI43" i="4" s="1"/>
  <c r="AI44" i="4" s="1"/>
  <c r="AH26" i="4"/>
  <c r="AH27" i="4" s="1"/>
  <c r="AH28" i="4"/>
  <c r="AH29" i="4" s="1"/>
  <c r="AH30" i="4" s="1"/>
  <c r="AH31" i="4" s="1"/>
  <c r="AH32" i="4" s="1"/>
  <c r="AH33" i="4" s="1"/>
  <c r="AH34" i="4" s="1"/>
  <c r="AH35" i="4" s="1"/>
  <c r="AH36" i="4" s="1"/>
  <c r="AH37" i="4" s="1"/>
  <c r="AH38" i="4" s="1"/>
  <c r="AH39" i="4" s="1"/>
  <c r="AH40" i="4" s="1"/>
  <c r="AH41" i="4" s="1"/>
  <c r="AH42" i="4" s="1"/>
  <c r="AH43" i="4" s="1"/>
  <c r="AH44" i="4" s="1"/>
  <c r="AE5" i="4"/>
  <c r="AE6" i="4" s="1"/>
  <c r="AE7" i="4" s="1"/>
  <c r="AE8" i="4" s="1"/>
  <c r="AE9" i="4" s="1"/>
  <c r="AE10" i="4" s="1"/>
  <c r="AE11" i="4" s="1"/>
  <c r="AE12" i="4" s="1"/>
  <c r="AE13" i="4" s="1"/>
  <c r="AE14" i="4" s="1"/>
  <c r="AE15" i="4" s="1"/>
  <c r="AE16" i="4" s="1"/>
  <c r="AE17" i="4" s="1"/>
  <c r="AE18" i="4" s="1"/>
  <c r="AE19" i="4" s="1"/>
  <c r="AE20" i="4" s="1"/>
  <c r="AE21" i="4" s="1"/>
  <c r="AE22" i="4" s="1"/>
  <c r="AE23" i="4" s="1"/>
  <c r="AE24" i="4" s="1"/>
  <c r="AE25" i="4" s="1"/>
  <c r="AE26" i="4" s="1"/>
  <c r="AE4" i="4"/>
  <c r="AI95" i="3" l="1"/>
  <c r="AI88" i="3"/>
  <c r="AI81" i="3"/>
  <c r="AI74" i="3"/>
  <c r="AI67" i="3"/>
  <c r="AI60" i="3"/>
  <c r="AI53" i="3"/>
  <c r="AI46" i="3"/>
  <c r="AI39" i="3"/>
  <c r="AI32" i="3"/>
  <c r="AI25" i="3"/>
  <c r="AI11" i="3"/>
  <c r="AI18" i="3"/>
  <c r="AI3" i="4"/>
  <c r="AI4" i="4" s="1"/>
  <c r="AH3" i="4"/>
  <c r="AH4" i="4" s="1"/>
  <c r="AG3" i="4"/>
  <c r="AG4" i="4" s="1"/>
  <c r="AF3" i="4"/>
  <c r="AF4" i="4" s="1"/>
  <c r="AE3" i="4"/>
  <c r="AH3" i="3"/>
  <c r="AA5" i="3" l="1"/>
  <c r="X101" i="3" s="1"/>
  <c r="AI98" i="3"/>
  <c r="AI97" i="3"/>
  <c r="AI96" i="3"/>
  <c r="AI91" i="3"/>
  <c r="AI90" i="3"/>
  <c r="AI89" i="3"/>
  <c r="AI84" i="3"/>
  <c r="AI83" i="3"/>
  <c r="AI82" i="3"/>
  <c r="AI77" i="3"/>
  <c r="AI76" i="3"/>
  <c r="AI75" i="3"/>
  <c r="AI70" i="3"/>
  <c r="AI69" i="3"/>
  <c r="AI68" i="3"/>
  <c r="AI63" i="3"/>
  <c r="AI62" i="3"/>
  <c r="AI61" i="3"/>
  <c r="AI56" i="3"/>
  <c r="AI55" i="3"/>
  <c r="AI54" i="3"/>
  <c r="AI49" i="3"/>
  <c r="AI48" i="3"/>
  <c r="AI47" i="3"/>
  <c r="AI42" i="3"/>
  <c r="AI41" i="3"/>
  <c r="AI40" i="3"/>
  <c r="AI35" i="3"/>
  <c r="AI34" i="3"/>
  <c r="AI33" i="3"/>
  <c r="AI28" i="3"/>
  <c r="AI27" i="3"/>
  <c r="AI26" i="3"/>
  <c r="AD101" i="3"/>
  <c r="AI21" i="3"/>
  <c r="AI20" i="3"/>
  <c r="AI19" i="3"/>
  <c r="AI14" i="3"/>
  <c r="AI13" i="3"/>
  <c r="AI12" i="3"/>
  <c r="H1" i="4"/>
  <c r="K1" i="4" s="1"/>
  <c r="AC2" i="3"/>
  <c r="H2" i="4"/>
  <c r="I9" i="4" s="1"/>
  <c r="W399" i="4"/>
  <c r="P399" i="4"/>
  <c r="AC110" i="3"/>
  <c r="AI112" i="3"/>
  <c r="AI111" i="3"/>
  <c r="AI110" i="3"/>
  <c r="AF112" i="3"/>
  <c r="AF111" i="3"/>
  <c r="AF110" i="3"/>
  <c r="AC112" i="3"/>
  <c r="AC111" i="3"/>
  <c r="M10" i="4"/>
  <c r="L10" i="4"/>
  <c r="X104" i="3"/>
  <c r="V3" i="4" l="1"/>
  <c r="W3" i="4" s="1"/>
  <c r="P66" i="3"/>
  <c r="P65" i="3" s="1"/>
  <c r="I11" i="4"/>
  <c r="AD102" i="3"/>
  <c r="T59" i="3"/>
  <c r="T58" i="3" s="1"/>
  <c r="F59" i="3"/>
  <c r="F58" i="3" s="1"/>
  <c r="AD103" i="3"/>
  <c r="AD104" i="3"/>
  <c r="Y94" i="3"/>
  <c r="Y93" i="3" s="1"/>
  <c r="AH66" i="3"/>
  <c r="AH65" i="3" s="1"/>
  <c r="Z59" i="3"/>
  <c r="Z58" i="3" s="1"/>
  <c r="Z52" i="3"/>
  <c r="Z51" i="3" s="1"/>
  <c r="D80" i="3"/>
  <c r="D79" i="3" s="1"/>
  <c r="AH94" i="3"/>
  <c r="AH93" i="3" s="1"/>
  <c r="Y80" i="3"/>
  <c r="Y79" i="3" s="1"/>
  <c r="E59" i="3"/>
  <c r="E58" i="3" s="1"/>
  <c r="M80" i="3"/>
  <c r="M79" i="3" s="1"/>
  <c r="V80" i="3"/>
  <c r="V79" i="3" s="1"/>
  <c r="AA80" i="3"/>
  <c r="AA79" i="3" s="1"/>
  <c r="H80" i="3"/>
  <c r="H79" i="3" s="1"/>
  <c r="L52" i="3"/>
  <c r="L51" i="3" s="1"/>
  <c r="H52" i="3"/>
  <c r="H51" i="3" s="1"/>
  <c r="AE94" i="3"/>
  <c r="AE93" i="3" s="1"/>
  <c r="M94" i="3"/>
  <c r="M93" i="3" s="1"/>
  <c r="H87" i="3"/>
  <c r="H86" i="3" s="1"/>
  <c r="W66" i="3"/>
  <c r="W65" i="3" s="1"/>
  <c r="I6" i="4"/>
  <c r="AD3" i="4"/>
  <c r="Y24" i="3"/>
  <c r="Y23" i="3" s="1"/>
  <c r="R80" i="3"/>
  <c r="R79" i="3" s="1"/>
  <c r="V66" i="3"/>
  <c r="V65" i="3" s="1"/>
  <c r="AD94" i="3"/>
  <c r="AD93" i="3" s="1"/>
  <c r="F73" i="3"/>
  <c r="F72" i="3" s="1"/>
  <c r="I15" i="4"/>
  <c r="K59" i="3"/>
  <c r="K58" i="3" s="1"/>
  <c r="X59" i="3"/>
  <c r="X58" i="3" s="1"/>
  <c r="M52" i="3"/>
  <c r="M51" i="3" s="1"/>
  <c r="X94" i="3"/>
  <c r="X93" i="3" s="1"/>
  <c r="G94" i="3"/>
  <c r="G93" i="3" s="1"/>
  <c r="T73" i="3"/>
  <c r="T72" i="3" s="1"/>
  <c r="O87" i="3"/>
  <c r="O86" i="3" s="1"/>
  <c r="I66" i="3"/>
  <c r="I65" i="3" s="1"/>
  <c r="AC73" i="3"/>
  <c r="AC72" i="3" s="1"/>
  <c r="AF87" i="3"/>
  <c r="AF86" i="3" s="1"/>
  <c r="D66" i="3"/>
  <c r="D65" i="3" s="1"/>
  <c r="AD73" i="3"/>
  <c r="AD72" i="3" s="1"/>
  <c r="AF66" i="3"/>
  <c r="AF65" i="3" s="1"/>
  <c r="Y52" i="3"/>
  <c r="Y51" i="3" s="1"/>
  <c r="N52" i="3"/>
  <c r="N51" i="3" s="1"/>
  <c r="W52" i="3"/>
  <c r="W51" i="3" s="1"/>
  <c r="AF52" i="3"/>
  <c r="AF51" i="3" s="1"/>
  <c r="F87" i="3"/>
  <c r="F86" i="3" s="1"/>
  <c r="L80" i="3"/>
  <c r="L79" i="3" s="1"/>
  <c r="X73" i="3"/>
  <c r="X72" i="3" s="1"/>
  <c r="S87" i="3"/>
  <c r="S86" i="3" s="1"/>
  <c r="U66" i="3"/>
  <c r="U65" i="3" s="1"/>
  <c r="G80" i="3"/>
  <c r="G79" i="3" s="1"/>
  <c r="F94" i="3"/>
  <c r="F93" i="3" s="1"/>
  <c r="AA66" i="3"/>
  <c r="AA65" i="3" s="1"/>
  <c r="G73" i="3"/>
  <c r="G72" i="3" s="1"/>
  <c r="T66" i="3"/>
  <c r="T65" i="3" s="1"/>
  <c r="AE10" i="3"/>
  <c r="AE9" i="3" s="1"/>
  <c r="Q24" i="3"/>
  <c r="Q23" i="3" s="1"/>
  <c r="F38" i="3"/>
  <c r="F37" i="3" s="1"/>
  <c r="N17" i="3"/>
  <c r="N16" i="3" s="1"/>
  <c r="M10" i="3"/>
  <c r="M9" i="3" s="1"/>
  <c r="E17" i="3"/>
  <c r="E16" i="3" s="1"/>
  <c r="Q45" i="3"/>
  <c r="Q44" i="3" s="1"/>
  <c r="AA59" i="3"/>
  <c r="AA58" i="3" s="1"/>
  <c r="AD52" i="3"/>
  <c r="AD51" i="3" s="1"/>
  <c r="K52" i="3"/>
  <c r="K51" i="3" s="1"/>
  <c r="I59" i="3"/>
  <c r="I58" i="3" s="1"/>
  <c r="T52" i="3"/>
  <c r="T51" i="3" s="1"/>
  <c r="N59" i="3"/>
  <c r="N58" i="3" s="1"/>
  <c r="P94" i="3"/>
  <c r="P93" i="3" s="1"/>
  <c r="S73" i="3"/>
  <c r="S72" i="3" s="1"/>
  <c r="AC87" i="3"/>
  <c r="AC86" i="3" s="1"/>
  <c r="J73" i="3"/>
  <c r="J72" i="3" s="1"/>
  <c r="H73" i="3"/>
  <c r="H72" i="3" s="1"/>
  <c r="AF73" i="3"/>
  <c r="AF72" i="3" s="1"/>
  <c r="AD80" i="3"/>
  <c r="AD79" i="3" s="1"/>
  <c r="AA87" i="3"/>
  <c r="AA86" i="3" s="1"/>
  <c r="AC94" i="3"/>
  <c r="AC93" i="3" s="1"/>
  <c r="F66" i="3"/>
  <c r="F65" i="3" s="1"/>
  <c r="M73" i="3"/>
  <c r="M72" i="3" s="1"/>
  <c r="K80" i="3"/>
  <c r="K79" i="3" s="1"/>
  <c r="T87" i="3"/>
  <c r="T86" i="3" s="1"/>
  <c r="N94" i="3"/>
  <c r="N93" i="3" s="1"/>
  <c r="D94" i="3"/>
  <c r="D93" i="3" s="1"/>
  <c r="E38" i="3"/>
  <c r="E37" i="3" s="1"/>
  <c r="S66" i="3"/>
  <c r="S65" i="3" s="1"/>
  <c r="AA94" i="3"/>
  <c r="AA93" i="3" s="1"/>
  <c r="Y87" i="3"/>
  <c r="Y86" i="3" s="1"/>
  <c r="AE59" i="3"/>
  <c r="AE58" i="3" s="1"/>
  <c r="K17" i="3"/>
  <c r="K16" i="3" s="1"/>
  <c r="P31" i="3"/>
  <c r="P30" i="3" s="1"/>
  <c r="D52" i="3"/>
  <c r="D51" i="3" s="1"/>
  <c r="O59" i="3"/>
  <c r="O58" i="3" s="1"/>
  <c r="H59" i="3"/>
  <c r="H58" i="3" s="1"/>
  <c r="S52" i="3"/>
  <c r="S51" i="3" s="1"/>
  <c r="U59" i="3"/>
  <c r="U58" i="3" s="1"/>
  <c r="X52" i="3"/>
  <c r="X51" i="3" s="1"/>
  <c r="R59" i="3"/>
  <c r="R58" i="3" s="1"/>
  <c r="AD87" i="3"/>
  <c r="AD86" i="3" s="1"/>
  <c r="E10" i="3"/>
  <c r="E9" i="3" s="1"/>
  <c r="E87" i="3"/>
  <c r="E86" i="3" s="1"/>
  <c r="X66" i="3"/>
  <c r="X65" i="3" s="1"/>
  <c r="L73" i="3"/>
  <c r="L72" i="3" s="1"/>
  <c r="F80" i="3"/>
  <c r="F79" i="3" s="1"/>
  <c r="AH80" i="3"/>
  <c r="AH79" i="3" s="1"/>
  <c r="I94" i="3"/>
  <c r="I93" i="3" s="1"/>
  <c r="E66" i="3"/>
  <c r="E65" i="3" s="1"/>
  <c r="R66" i="3"/>
  <c r="R65" i="3" s="1"/>
  <c r="Q73" i="3"/>
  <c r="Q72" i="3" s="1"/>
  <c r="W80" i="3"/>
  <c r="W79" i="3" s="1"/>
  <c r="X87" i="3"/>
  <c r="X86" i="3" s="1"/>
  <c r="R94" i="3"/>
  <c r="R93" i="3" s="1"/>
  <c r="Q80" i="3"/>
  <c r="Q79" i="3" s="1"/>
  <c r="K94" i="3"/>
  <c r="K93" i="3" s="1"/>
  <c r="AG87" i="3"/>
  <c r="AG86" i="3" s="1"/>
  <c r="I87" i="3"/>
  <c r="I86" i="3" s="1"/>
  <c r="AF80" i="3"/>
  <c r="AF79" i="3" s="1"/>
  <c r="AF59" i="3"/>
  <c r="AF58" i="3" s="1"/>
  <c r="O10" i="3"/>
  <c r="O9" i="3" s="1"/>
  <c r="AG31" i="3"/>
  <c r="AG30" i="3" s="1"/>
  <c r="V17" i="3"/>
  <c r="V16" i="3" s="1"/>
  <c r="P17" i="3"/>
  <c r="P16" i="3" s="1"/>
  <c r="J45" i="3"/>
  <c r="J44" i="3" s="1"/>
  <c r="I31" i="3"/>
  <c r="I30" i="3" s="1"/>
  <c r="Y38" i="3"/>
  <c r="Y37" i="3" s="1"/>
  <c r="AG45" i="3"/>
  <c r="AG44" i="3" s="1"/>
  <c r="M24" i="3"/>
  <c r="M23" i="3" s="1"/>
  <c r="S31" i="3"/>
  <c r="S30" i="3" s="1"/>
  <c r="AF10" i="3"/>
  <c r="AF9" i="3" s="1"/>
  <c r="AD10" i="3"/>
  <c r="AD9" i="3" s="1"/>
  <c r="K24" i="3"/>
  <c r="K23" i="3" s="1"/>
  <c r="F45" i="3"/>
  <c r="F44" i="3" s="1"/>
  <c r="Q10" i="3"/>
  <c r="Q9" i="3" s="1"/>
  <c r="AH17" i="3"/>
  <c r="AH16" i="3" s="1"/>
  <c r="K38" i="3"/>
  <c r="K37" i="3" s="1"/>
  <c r="AA31" i="3"/>
  <c r="AA30" i="3" s="1"/>
  <c r="R38" i="3"/>
  <c r="R37" i="3" s="1"/>
  <c r="S38" i="3"/>
  <c r="S37" i="3" s="1"/>
  <c r="D38" i="3"/>
  <c r="D37" i="3" s="1"/>
  <c r="P45" i="3"/>
  <c r="P44" i="3" s="1"/>
  <c r="P10" i="3"/>
  <c r="P9" i="3" s="1"/>
  <c r="N10" i="3"/>
  <c r="N9" i="3" s="1"/>
  <c r="AD17" i="3"/>
  <c r="AD16" i="3" s="1"/>
  <c r="O31" i="3"/>
  <c r="O30" i="3" s="1"/>
  <c r="AH45" i="3"/>
  <c r="AH44" i="3" s="1"/>
  <c r="Z24" i="3"/>
  <c r="Z23" i="3" s="1"/>
  <c r="G24" i="3"/>
  <c r="G23" i="3" s="1"/>
  <c r="S45" i="3"/>
  <c r="S44" i="3" s="1"/>
  <c r="AE38" i="3"/>
  <c r="AE37" i="3" s="1"/>
  <c r="AF38" i="3"/>
  <c r="AF37" i="3" s="1"/>
  <c r="E24" i="3"/>
  <c r="E23" i="3" s="1"/>
  <c r="AC31" i="3"/>
  <c r="AC30" i="3" s="1"/>
  <c r="F24" i="3"/>
  <c r="F23" i="3" s="1"/>
  <c r="AE45" i="3"/>
  <c r="AE44" i="3" s="1"/>
  <c r="AB10" i="3"/>
  <c r="AB9" i="3" s="1"/>
  <c r="L10" i="3"/>
  <c r="L9" i="3" s="1"/>
  <c r="AA10" i="3"/>
  <c r="AA9" i="3" s="1"/>
  <c r="K10" i="3"/>
  <c r="K9" i="3" s="1"/>
  <c r="Z10" i="3"/>
  <c r="Z9" i="3" s="1"/>
  <c r="J10" i="3"/>
  <c r="J9" i="3" s="1"/>
  <c r="P38" i="3"/>
  <c r="P37" i="3" s="1"/>
  <c r="Y31" i="3"/>
  <c r="Y30" i="3" s="1"/>
  <c r="AA24" i="3"/>
  <c r="AA23" i="3" s="1"/>
  <c r="AB17" i="3"/>
  <c r="AB16" i="3" s="1"/>
  <c r="G17" i="3"/>
  <c r="G16" i="3" s="1"/>
  <c r="AF31" i="3"/>
  <c r="AF30" i="3" s="1"/>
  <c r="AD31" i="3"/>
  <c r="AD30" i="3" s="1"/>
  <c r="G31" i="3"/>
  <c r="G30" i="3" s="1"/>
  <c r="I24" i="3"/>
  <c r="I23" i="3" s="1"/>
  <c r="O17" i="3"/>
  <c r="O16" i="3" s="1"/>
  <c r="H45" i="3"/>
  <c r="H44" i="3" s="1"/>
  <c r="I38" i="3"/>
  <c r="I37" i="3" s="1"/>
  <c r="I17" i="3"/>
  <c r="I16" i="3" s="1"/>
  <c r="U17" i="3"/>
  <c r="U16" i="3" s="1"/>
  <c r="H24" i="3"/>
  <c r="H23" i="3" s="1"/>
  <c r="D24" i="3"/>
  <c r="D23" i="3" s="1"/>
  <c r="U31" i="3"/>
  <c r="U30" i="3" s="1"/>
  <c r="T45" i="3"/>
  <c r="T44" i="3" s="1"/>
  <c r="L24" i="3"/>
  <c r="L23" i="3" s="1"/>
  <c r="AC24" i="3"/>
  <c r="AC23" i="3" s="1"/>
  <c r="N31" i="3"/>
  <c r="N30" i="3" s="1"/>
  <c r="E45" i="3"/>
  <c r="E44" i="3" s="1"/>
  <c r="W45" i="3"/>
  <c r="W44" i="3" s="1"/>
  <c r="J38" i="3"/>
  <c r="J37" i="3" s="1"/>
  <c r="AC38" i="3"/>
  <c r="AC37" i="3" s="1"/>
  <c r="V38" i="3"/>
  <c r="V37" i="3" s="1"/>
  <c r="D31" i="3"/>
  <c r="D30" i="3" s="1"/>
  <c r="U45" i="3"/>
  <c r="U44" i="3" s="1"/>
  <c r="L38" i="3"/>
  <c r="L37" i="3" s="1"/>
  <c r="D45" i="3"/>
  <c r="D44" i="3" s="1"/>
  <c r="V31" i="3"/>
  <c r="V30" i="3" s="1"/>
  <c r="S17" i="3"/>
  <c r="S16" i="3" s="1"/>
  <c r="H17" i="3"/>
  <c r="H16" i="3" s="1"/>
  <c r="K31" i="3"/>
  <c r="K30" i="3" s="1"/>
  <c r="F31" i="3"/>
  <c r="F30" i="3" s="1"/>
  <c r="AG10" i="3"/>
  <c r="AG9" i="3" s="1"/>
  <c r="T31" i="3"/>
  <c r="T30" i="3" s="1"/>
  <c r="AD24" i="3"/>
  <c r="AD23" i="3" s="1"/>
  <c r="D17" i="3"/>
  <c r="D16" i="3" s="1"/>
  <c r="AF45" i="3"/>
  <c r="AF44" i="3" s="1"/>
  <c r="AG38" i="3"/>
  <c r="AG37" i="3" s="1"/>
  <c r="I3" i="4"/>
  <c r="I7" i="4"/>
  <c r="V4" i="4"/>
  <c r="V5" i="4" s="1"/>
  <c r="X10" i="3"/>
  <c r="X9" i="3" s="1"/>
  <c r="H10" i="3"/>
  <c r="H9" i="3" s="1"/>
  <c r="W10" i="3"/>
  <c r="W9" i="3" s="1"/>
  <c r="G10" i="3"/>
  <c r="G9" i="3" s="1"/>
  <c r="V10" i="3"/>
  <c r="V9" i="3" s="1"/>
  <c r="F10" i="3"/>
  <c r="F9" i="3" s="1"/>
  <c r="AD45" i="3"/>
  <c r="AD44" i="3" s="1"/>
  <c r="Q31" i="3"/>
  <c r="Q30" i="3" s="1"/>
  <c r="R24" i="3"/>
  <c r="R23" i="3" s="1"/>
  <c r="W17" i="3"/>
  <c r="W16" i="3" s="1"/>
  <c r="G38" i="3"/>
  <c r="G37" i="3" s="1"/>
  <c r="AF24" i="3"/>
  <c r="AF23" i="3" s="1"/>
  <c r="AG17" i="3"/>
  <c r="AG16" i="3" s="1"/>
  <c r="J17" i="3"/>
  <c r="J16" i="3" s="1"/>
  <c r="R45" i="3"/>
  <c r="R44" i="3" s="1"/>
  <c r="X38" i="3"/>
  <c r="X37" i="3" s="1"/>
  <c r="L17" i="3"/>
  <c r="L16" i="3" s="1"/>
  <c r="Y17" i="3"/>
  <c r="Y16" i="3" s="1"/>
  <c r="N24" i="3"/>
  <c r="N23" i="3" s="1"/>
  <c r="AB31" i="3"/>
  <c r="AB30" i="3" s="1"/>
  <c r="AB45" i="3"/>
  <c r="AB44" i="3" s="1"/>
  <c r="AB38" i="3"/>
  <c r="AB37" i="3" s="1"/>
  <c r="P24" i="3"/>
  <c r="P23" i="3" s="1"/>
  <c r="AG24" i="3"/>
  <c r="AG23" i="3" s="1"/>
  <c r="R31" i="3"/>
  <c r="R30" i="3" s="1"/>
  <c r="I45" i="3"/>
  <c r="I44" i="3" s="1"/>
  <c r="AA45" i="3"/>
  <c r="AA44" i="3" s="1"/>
  <c r="Q38" i="3"/>
  <c r="Q37" i="3" s="1"/>
  <c r="N38" i="3"/>
  <c r="N37" i="3" s="1"/>
  <c r="Z38" i="3"/>
  <c r="Z37" i="3" s="1"/>
  <c r="G45" i="3"/>
  <c r="G44" i="3" s="1"/>
  <c r="Y45" i="3"/>
  <c r="Y44" i="3" s="1"/>
  <c r="H38" i="3"/>
  <c r="H37" i="3" s="1"/>
  <c r="W38" i="3"/>
  <c r="W37" i="3" s="1"/>
  <c r="M31" i="3"/>
  <c r="M30" i="3" s="1"/>
  <c r="V45" i="3"/>
  <c r="V44" i="3" s="1"/>
  <c r="R17" i="3"/>
  <c r="R16" i="3" s="1"/>
  <c r="Z31" i="3"/>
  <c r="Z30" i="3" s="1"/>
  <c r="V24" i="3"/>
  <c r="V23" i="3" s="1"/>
  <c r="O24" i="3"/>
  <c r="O23" i="3" s="1"/>
  <c r="U24" i="3"/>
  <c r="U23" i="3" s="1"/>
  <c r="X17" i="3"/>
  <c r="X16" i="3" s="1"/>
  <c r="T38" i="3"/>
  <c r="T37" i="3" s="1"/>
  <c r="T10" i="3"/>
  <c r="T9" i="3" s="1"/>
  <c r="D10" i="3"/>
  <c r="D9" i="3" s="1"/>
  <c r="S10" i="3"/>
  <c r="S9" i="3" s="1"/>
  <c r="AH10" i="3"/>
  <c r="AH9" i="3" s="1"/>
  <c r="R10" i="3"/>
  <c r="R9" i="3" s="1"/>
  <c r="AC10" i="3"/>
  <c r="AC9" i="3" s="1"/>
  <c r="N45" i="3"/>
  <c r="N44" i="3" s="1"/>
  <c r="H31" i="3"/>
  <c r="H30" i="3" s="1"/>
  <c r="J24" i="3"/>
  <c r="J23" i="3" s="1"/>
  <c r="Q17" i="3"/>
  <c r="Q16" i="3" s="1"/>
  <c r="Y10" i="3"/>
  <c r="Y9" i="3" s="1"/>
  <c r="X45" i="3"/>
  <c r="X44" i="3" s="1"/>
  <c r="X31" i="3"/>
  <c r="X30" i="3" s="1"/>
  <c r="X24" i="3"/>
  <c r="X23" i="3" s="1"/>
  <c r="AA17" i="3"/>
  <c r="AA16" i="3" s="1"/>
  <c r="F17" i="3"/>
  <c r="F16" i="3" s="1"/>
  <c r="Z45" i="3"/>
  <c r="Z44" i="3" s="1"/>
  <c r="U10" i="3"/>
  <c r="U9" i="3" s="1"/>
  <c r="AC17" i="3"/>
  <c r="AC16" i="3" s="1"/>
  <c r="S24" i="3"/>
  <c r="S23" i="3" s="1"/>
  <c r="J31" i="3"/>
  <c r="J30" i="3" s="1"/>
  <c r="AH31" i="3"/>
  <c r="AH30" i="3" s="1"/>
  <c r="M45" i="3"/>
  <c r="M44" i="3" s="1"/>
  <c r="T17" i="3"/>
  <c r="T16" i="3" s="1"/>
  <c r="T24" i="3"/>
  <c r="T23" i="3" s="1"/>
  <c r="E31" i="3"/>
  <c r="E30" i="3" s="1"/>
  <c r="W31" i="3"/>
  <c r="W30" i="3" s="1"/>
  <c r="O45" i="3"/>
  <c r="O44" i="3" s="1"/>
  <c r="L45" i="3"/>
  <c r="L44" i="3" s="1"/>
  <c r="U38" i="3"/>
  <c r="U37" i="3" s="1"/>
  <c r="L31" i="3"/>
  <c r="L30" i="3" s="1"/>
  <c r="AD38" i="3"/>
  <c r="AD37" i="3" s="1"/>
  <c r="K45" i="3"/>
  <c r="K44" i="3" s="1"/>
  <c r="AC45" i="3"/>
  <c r="AC44" i="3" s="1"/>
  <c r="O38" i="3"/>
  <c r="O37" i="3" s="1"/>
  <c r="AA38" i="3"/>
  <c r="AA37" i="3" s="1"/>
  <c r="W24" i="3"/>
  <c r="W23" i="3" s="1"/>
  <c r="M38" i="3"/>
  <c r="M37" i="3" s="1"/>
  <c r="AE17" i="3"/>
  <c r="AE16" i="3" s="1"/>
  <c r="AF17" i="3"/>
  <c r="AF16" i="3" s="1"/>
  <c r="M17" i="3"/>
  <c r="M16" i="3" s="1"/>
  <c r="Z17" i="3"/>
  <c r="Z16" i="3" s="1"/>
  <c r="I10" i="3"/>
  <c r="I9" i="3" s="1"/>
  <c r="AB24" i="3"/>
  <c r="AB23" i="3" s="1"/>
  <c r="I8" i="4"/>
  <c r="E52" i="3"/>
  <c r="E51" i="3" s="1"/>
  <c r="S59" i="3"/>
  <c r="S58" i="3" s="1"/>
  <c r="Q52" i="3"/>
  <c r="Q51" i="3" s="1"/>
  <c r="F52" i="3"/>
  <c r="F51" i="3" s="1"/>
  <c r="R52" i="3"/>
  <c r="R51" i="3" s="1"/>
  <c r="AH52" i="3"/>
  <c r="AH51" i="3" s="1"/>
  <c r="L59" i="3"/>
  <c r="L58" i="3" s="1"/>
  <c r="AB59" i="3"/>
  <c r="AB58" i="3" s="1"/>
  <c r="O52" i="3"/>
  <c r="O51" i="3" s="1"/>
  <c r="AA52" i="3"/>
  <c r="AA51" i="3" s="1"/>
  <c r="M59" i="3"/>
  <c r="M58" i="3" s="1"/>
  <c r="Y59" i="3"/>
  <c r="Y58" i="3" s="1"/>
  <c r="P52" i="3"/>
  <c r="P51" i="3" s="1"/>
  <c r="J59" i="3"/>
  <c r="J58" i="3" s="1"/>
  <c r="AD59" i="3"/>
  <c r="AD58" i="3" s="1"/>
  <c r="V87" i="3"/>
  <c r="V86" i="3" s="1"/>
  <c r="AC80" i="3"/>
  <c r="AC79" i="3" s="1"/>
  <c r="E80" i="3"/>
  <c r="E79" i="3" s="1"/>
  <c r="K73" i="3"/>
  <c r="K72" i="3" s="1"/>
  <c r="W94" i="3"/>
  <c r="W93" i="3" s="1"/>
  <c r="U87" i="3"/>
  <c r="U86" i="3" s="1"/>
  <c r="AB80" i="3"/>
  <c r="AB79" i="3" s="1"/>
  <c r="Z73" i="3"/>
  <c r="Z72" i="3" s="1"/>
  <c r="AE66" i="3"/>
  <c r="AE65" i="3" s="1"/>
  <c r="H66" i="3"/>
  <c r="H65" i="3" s="1"/>
  <c r="AG66" i="3"/>
  <c r="AG65" i="3" s="1"/>
  <c r="P73" i="3"/>
  <c r="P72" i="3" s="1"/>
  <c r="J80" i="3"/>
  <c r="J79" i="3" s="1"/>
  <c r="Z80" i="3"/>
  <c r="Z79" i="3" s="1"/>
  <c r="G87" i="3"/>
  <c r="G86" i="3" s="1"/>
  <c r="AE87" i="3"/>
  <c r="AE86" i="3" s="1"/>
  <c r="Q94" i="3"/>
  <c r="Q93" i="3" s="1"/>
  <c r="M66" i="3"/>
  <c r="M65" i="3" s="1"/>
  <c r="Y66" i="3"/>
  <c r="Y65" i="3" s="1"/>
  <c r="J66" i="3"/>
  <c r="J65" i="3" s="1"/>
  <c r="Z66" i="3"/>
  <c r="Z65" i="3" s="1"/>
  <c r="E73" i="3"/>
  <c r="E72" i="3" s="1"/>
  <c r="U73" i="3"/>
  <c r="U72" i="3" s="1"/>
  <c r="AG73" i="3"/>
  <c r="AG72" i="3" s="1"/>
  <c r="O80" i="3"/>
  <c r="O79" i="3" s="1"/>
  <c r="AE80" i="3"/>
  <c r="AE79" i="3" s="1"/>
  <c r="L87" i="3"/>
  <c r="L86" i="3" s="1"/>
  <c r="AB87" i="3"/>
  <c r="AB86" i="3" s="1"/>
  <c r="V94" i="3"/>
  <c r="V93" i="3" s="1"/>
  <c r="R87" i="3"/>
  <c r="R86" i="3" s="1"/>
  <c r="AE73" i="3"/>
  <c r="AE72" i="3" s="1"/>
  <c r="O66" i="3"/>
  <c r="O65" i="3" s="1"/>
  <c r="N73" i="3"/>
  <c r="N72" i="3" s="1"/>
  <c r="J87" i="3"/>
  <c r="J86" i="3" s="1"/>
  <c r="AB66" i="3"/>
  <c r="AB65" i="3" s="1"/>
  <c r="S94" i="3"/>
  <c r="S93" i="3" s="1"/>
  <c r="P80" i="3"/>
  <c r="P79" i="3" s="1"/>
  <c r="K66" i="3"/>
  <c r="K65" i="3" s="1"/>
  <c r="I80" i="3"/>
  <c r="I79" i="3" s="1"/>
  <c r="G66" i="3"/>
  <c r="G65" i="3" s="1"/>
  <c r="I14" i="4"/>
  <c r="W59" i="3"/>
  <c r="W58" i="3" s="1"/>
  <c r="U52" i="3"/>
  <c r="U51" i="3" s="1"/>
  <c r="AC52" i="3"/>
  <c r="AC51" i="3" s="1"/>
  <c r="AG52" i="3"/>
  <c r="AG51" i="3" s="1"/>
  <c r="J52" i="3"/>
  <c r="J51" i="3" s="1"/>
  <c r="V52" i="3"/>
  <c r="V51" i="3" s="1"/>
  <c r="D59" i="3"/>
  <c r="D58" i="3" s="1"/>
  <c r="P59" i="3"/>
  <c r="P58" i="3" s="1"/>
  <c r="G52" i="3"/>
  <c r="G51" i="3" s="1"/>
  <c r="AE52" i="3"/>
  <c r="AE51" i="3" s="1"/>
  <c r="Q59" i="3"/>
  <c r="Q58" i="3" s="1"/>
  <c r="AC59" i="3"/>
  <c r="AC58" i="3" s="1"/>
  <c r="AB52" i="3"/>
  <c r="AB51" i="3" s="1"/>
  <c r="V59" i="3"/>
  <c r="V58" i="3" s="1"/>
  <c r="AF94" i="3"/>
  <c r="AF93" i="3" s="1"/>
  <c r="H94" i="3"/>
  <c r="H93" i="3" s="1"/>
  <c r="N87" i="3"/>
  <c r="N86" i="3" s="1"/>
  <c r="U80" i="3"/>
  <c r="U79" i="3" s="1"/>
  <c r="AA73" i="3"/>
  <c r="AA72" i="3" s="1"/>
  <c r="O94" i="3"/>
  <c r="O93" i="3" s="1"/>
  <c r="M87" i="3"/>
  <c r="M86" i="3" s="1"/>
  <c r="T80" i="3"/>
  <c r="T79" i="3" s="1"/>
  <c r="R73" i="3"/>
  <c r="R72" i="3" s="1"/>
  <c r="D73" i="3"/>
  <c r="D72" i="3" s="1"/>
  <c r="AB73" i="3"/>
  <c r="AB72" i="3" s="1"/>
  <c r="N80" i="3"/>
  <c r="N79" i="3" s="1"/>
  <c r="K87" i="3"/>
  <c r="K86" i="3" s="1"/>
  <c r="W87" i="3"/>
  <c r="W86" i="3" s="1"/>
  <c r="E94" i="3"/>
  <c r="E93" i="3" s="1"/>
  <c r="U94" i="3"/>
  <c r="U93" i="3" s="1"/>
  <c r="AG94" i="3"/>
  <c r="AG93" i="3" s="1"/>
  <c r="Q66" i="3"/>
  <c r="Q65" i="3" s="1"/>
  <c r="I52" i="3"/>
  <c r="I51" i="3" s="1"/>
  <c r="N66" i="3"/>
  <c r="N65" i="3" s="1"/>
  <c r="AD66" i="3"/>
  <c r="AD65" i="3" s="1"/>
  <c r="I73" i="3"/>
  <c r="I72" i="3" s="1"/>
  <c r="Y73" i="3"/>
  <c r="Y72" i="3" s="1"/>
  <c r="S80" i="3"/>
  <c r="S79" i="3" s="1"/>
  <c r="D87" i="3"/>
  <c r="D86" i="3" s="1"/>
  <c r="P87" i="3"/>
  <c r="P86" i="3" s="1"/>
  <c r="J94" i="3"/>
  <c r="J93" i="3" s="1"/>
  <c r="Z94" i="3"/>
  <c r="Z93" i="3" s="1"/>
  <c r="T94" i="3"/>
  <c r="T93" i="3" s="1"/>
  <c r="AG80" i="3"/>
  <c r="AG79" i="3" s="1"/>
  <c r="O73" i="3"/>
  <c r="O72" i="3" s="1"/>
  <c r="G59" i="3"/>
  <c r="G58" i="3" s="1"/>
  <c r="Q87" i="3"/>
  <c r="Q86" i="3" s="1"/>
  <c r="AC66" i="3"/>
  <c r="AC65" i="3" s="1"/>
  <c r="X80" i="3"/>
  <c r="X79" i="3" s="1"/>
  <c r="L66" i="3"/>
  <c r="L65" i="3" s="1"/>
  <c r="Z87" i="3"/>
  <c r="Z86" i="3" s="1"/>
  <c r="W73" i="3"/>
  <c r="W72" i="3" s="1"/>
  <c r="L94" i="3"/>
  <c r="L93" i="3" s="1"/>
  <c r="V73" i="3"/>
  <c r="V72" i="3" s="1"/>
  <c r="AB94" i="3"/>
  <c r="AB93" i="3" s="1"/>
  <c r="I12" i="4"/>
  <c r="I10" i="4"/>
  <c r="I4" i="4"/>
  <c r="AE31" i="3"/>
  <c r="AE30" i="3" s="1"/>
  <c r="I5" i="4"/>
  <c r="O3" i="4"/>
  <c r="AE24" i="3"/>
  <c r="AE23" i="3" s="1"/>
  <c r="I13" i="4"/>
  <c r="AD105" i="3" l="1"/>
  <c r="AD106" i="3"/>
  <c r="AD4" i="4"/>
  <c r="AD5" i="4" s="1"/>
  <c r="AD6" i="4" s="1"/>
  <c r="AD7" i="4" s="1"/>
  <c r="AD8" i="4" s="1"/>
  <c r="AD9" i="4" s="1"/>
  <c r="AD10" i="4" s="1"/>
  <c r="AD11" i="4" s="1"/>
  <c r="AD12" i="4" s="1"/>
  <c r="AD13" i="4" s="1"/>
  <c r="AD14" i="4" s="1"/>
  <c r="AD15" i="4" s="1"/>
  <c r="AD16" i="4" s="1"/>
  <c r="AD17" i="4" s="1"/>
  <c r="AD18" i="4" s="1"/>
  <c r="AD19" i="4" s="1"/>
  <c r="AD20" i="4" s="1"/>
  <c r="AD21" i="4" s="1"/>
  <c r="AD22" i="4" s="1"/>
  <c r="AD23" i="4" s="1"/>
  <c r="AD24" i="4" s="1"/>
  <c r="AD25" i="4" s="1"/>
  <c r="AD26" i="4" s="1"/>
  <c r="AD27" i="4" s="1"/>
  <c r="AD28" i="4" s="1"/>
  <c r="AD29" i="4" s="1"/>
  <c r="AD30" i="4" s="1"/>
  <c r="AD31" i="4" s="1"/>
  <c r="AD32" i="4" s="1"/>
  <c r="AD33" i="4" s="1"/>
  <c r="AD34" i="4" s="1"/>
  <c r="AD35" i="4" s="1"/>
  <c r="AD36" i="4" s="1"/>
  <c r="AD37" i="4" s="1"/>
  <c r="AD38" i="4" s="1"/>
  <c r="AD39" i="4" s="1"/>
  <c r="AD40" i="4" s="1"/>
  <c r="AD41" i="4" s="1"/>
  <c r="AD42" i="4" s="1"/>
  <c r="AD43" i="4" s="1"/>
  <c r="AD44" i="4" s="1"/>
  <c r="AD45" i="4" s="1"/>
  <c r="AD46" i="4" s="1"/>
  <c r="AD47" i="4" s="1"/>
  <c r="AD48" i="4" s="1"/>
  <c r="AD49" i="4" s="1"/>
  <c r="AD50" i="4" s="1"/>
  <c r="AD51" i="4" s="1"/>
  <c r="AD52" i="4" s="1"/>
  <c r="AD53" i="4" s="1"/>
  <c r="AD54" i="4" s="1"/>
  <c r="AD55" i="4" s="1"/>
  <c r="AD56" i="4" s="1"/>
  <c r="AD57" i="4" s="1"/>
  <c r="AD58" i="4" s="1"/>
  <c r="AD59" i="4" s="1"/>
  <c r="AD60" i="4" s="1"/>
  <c r="AD61" i="4" s="1"/>
  <c r="AD62" i="4" s="1"/>
  <c r="AD63" i="4" s="1"/>
  <c r="AD64" i="4" s="1"/>
  <c r="AD65" i="4" s="1"/>
  <c r="AD66" i="4" s="1"/>
  <c r="AD67" i="4" s="1"/>
  <c r="AD68" i="4" s="1"/>
  <c r="AD69" i="4" s="1"/>
  <c r="AD70" i="4" s="1"/>
  <c r="AD71" i="4" s="1"/>
  <c r="AD72" i="4" s="1"/>
  <c r="AD73" i="4" s="1"/>
  <c r="AD74" i="4" s="1"/>
  <c r="AD75" i="4" s="1"/>
  <c r="AD76" i="4" s="1"/>
  <c r="AD77" i="4" s="1"/>
  <c r="AD78" i="4" s="1"/>
  <c r="AD79" i="4" s="1"/>
  <c r="AD80" i="4" s="1"/>
  <c r="AD81" i="4" s="1"/>
  <c r="AD82" i="4" s="1"/>
  <c r="AD83" i="4" s="1"/>
  <c r="AD84" i="4" s="1"/>
  <c r="AD85" i="4" s="1"/>
  <c r="AD86" i="4" s="1"/>
  <c r="AD87" i="4" s="1"/>
  <c r="AD88" i="4" s="1"/>
  <c r="AD89" i="4" s="1"/>
  <c r="AD90" i="4" s="1"/>
  <c r="AD91" i="4" s="1"/>
  <c r="AD92" i="4" s="1"/>
  <c r="AD93" i="4" s="1"/>
  <c r="AD94" i="4" s="1"/>
  <c r="AD95" i="4" s="1"/>
  <c r="AD96" i="4" s="1"/>
  <c r="AD97" i="4" s="1"/>
  <c r="AD98" i="4" s="1"/>
  <c r="AD99" i="4" s="1"/>
  <c r="AD100" i="4" s="1"/>
  <c r="AD101" i="4" s="1"/>
  <c r="AD102" i="4" s="1"/>
  <c r="AD103" i="4" s="1"/>
  <c r="AD104" i="4" s="1"/>
  <c r="AD105" i="4" s="1"/>
  <c r="AD106" i="4" s="1"/>
  <c r="AD107" i="4" s="1"/>
  <c r="AD108" i="4" s="1"/>
  <c r="AD109" i="4" s="1"/>
  <c r="AD110" i="4" s="1"/>
  <c r="AD111" i="4" s="1"/>
  <c r="AD112" i="4" s="1"/>
  <c r="AD113" i="4" s="1"/>
  <c r="AD114" i="4" s="1"/>
  <c r="AD115" i="4" s="1"/>
  <c r="AD116" i="4" s="1"/>
  <c r="AD117" i="4" s="1"/>
  <c r="AD118" i="4" s="1"/>
  <c r="AD119" i="4" s="1"/>
  <c r="AD120" i="4" s="1"/>
  <c r="AD121" i="4" s="1"/>
  <c r="AD122" i="4" s="1"/>
  <c r="AD123" i="4" s="1"/>
  <c r="AD124" i="4" s="1"/>
  <c r="AD125" i="4" s="1"/>
  <c r="AD126" i="4" s="1"/>
  <c r="AD127" i="4" s="1"/>
  <c r="AD128" i="4" s="1"/>
  <c r="AD129" i="4" s="1"/>
  <c r="AD130" i="4" s="1"/>
  <c r="AD131" i="4" s="1"/>
  <c r="AD132" i="4" s="1"/>
  <c r="AD133" i="4" s="1"/>
  <c r="AD134" i="4" s="1"/>
  <c r="AD135" i="4" s="1"/>
  <c r="AD136" i="4" s="1"/>
  <c r="AD137" i="4" s="1"/>
  <c r="AD138" i="4" s="1"/>
  <c r="AD139" i="4" s="1"/>
  <c r="AD140" i="4" s="1"/>
  <c r="AD141" i="4" s="1"/>
  <c r="AD142" i="4" s="1"/>
  <c r="AD143" i="4" s="1"/>
  <c r="AD144" i="4" s="1"/>
  <c r="AD145" i="4" s="1"/>
  <c r="AD146" i="4" s="1"/>
  <c r="AD147" i="4" s="1"/>
  <c r="AD148" i="4" s="1"/>
  <c r="AD149" i="4" s="1"/>
  <c r="AD150" i="4" s="1"/>
  <c r="AD151" i="4" s="1"/>
  <c r="AD152" i="4" s="1"/>
  <c r="AD153" i="4" s="1"/>
  <c r="AD154" i="4" s="1"/>
  <c r="AD155" i="4" s="1"/>
  <c r="AD156" i="4" s="1"/>
  <c r="AD157" i="4" s="1"/>
  <c r="AD158" i="4" s="1"/>
  <c r="AD159" i="4" s="1"/>
  <c r="AD160" i="4" s="1"/>
  <c r="AD161" i="4" s="1"/>
  <c r="AD162" i="4" s="1"/>
  <c r="AD163" i="4" s="1"/>
  <c r="AD164" i="4" s="1"/>
  <c r="AD165" i="4" s="1"/>
  <c r="AD166" i="4" s="1"/>
  <c r="AD167" i="4" s="1"/>
  <c r="AD168" i="4" s="1"/>
  <c r="AD169" i="4" s="1"/>
  <c r="AD170" i="4" s="1"/>
  <c r="AD171" i="4" s="1"/>
  <c r="AD172" i="4" s="1"/>
  <c r="AD173" i="4" s="1"/>
  <c r="AD174" i="4" s="1"/>
  <c r="AD175" i="4" s="1"/>
  <c r="AD176" i="4" s="1"/>
  <c r="AD177" i="4" s="1"/>
  <c r="AD178" i="4" s="1"/>
  <c r="AD179" i="4" s="1"/>
  <c r="AD180" i="4" s="1"/>
  <c r="AD181" i="4" s="1"/>
  <c r="AD182" i="4" s="1"/>
  <c r="AD183" i="4" s="1"/>
  <c r="AD184" i="4" s="1"/>
  <c r="AD185" i="4" s="1"/>
  <c r="AD186" i="4" s="1"/>
  <c r="AD187" i="4" s="1"/>
  <c r="AD188" i="4" s="1"/>
  <c r="AD189" i="4" s="1"/>
  <c r="AD190" i="4" s="1"/>
  <c r="AD191" i="4" s="1"/>
  <c r="AD192" i="4" s="1"/>
  <c r="AD193" i="4" s="1"/>
  <c r="AD194" i="4" s="1"/>
  <c r="AD195" i="4" s="1"/>
  <c r="AD196" i="4" s="1"/>
  <c r="AD197" i="4" s="1"/>
  <c r="AD198" i="4" s="1"/>
  <c r="AD199" i="4" s="1"/>
  <c r="AD200" i="4" s="1"/>
  <c r="AD201" i="4" s="1"/>
  <c r="AD202" i="4" s="1"/>
  <c r="AD203" i="4" s="1"/>
  <c r="AD204" i="4" s="1"/>
  <c r="AD205" i="4" s="1"/>
  <c r="AD206" i="4" s="1"/>
  <c r="AD207" i="4" s="1"/>
  <c r="AD208" i="4" s="1"/>
  <c r="AD209" i="4" s="1"/>
  <c r="AD210" i="4" s="1"/>
  <c r="AD211" i="4" s="1"/>
  <c r="AD212" i="4" s="1"/>
  <c r="AD213" i="4" s="1"/>
  <c r="AD214" i="4" s="1"/>
  <c r="AD215" i="4" s="1"/>
  <c r="AD216" i="4" s="1"/>
  <c r="AD217" i="4" s="1"/>
  <c r="AD218" i="4" s="1"/>
  <c r="AD219" i="4" s="1"/>
  <c r="AD220" i="4" s="1"/>
  <c r="AD221" i="4" s="1"/>
  <c r="AD222" i="4" s="1"/>
  <c r="AD223" i="4" s="1"/>
  <c r="AD224" i="4" s="1"/>
  <c r="AD225" i="4" s="1"/>
  <c r="AD226" i="4" s="1"/>
  <c r="AD227" i="4" s="1"/>
  <c r="AD228" i="4" s="1"/>
  <c r="AD229" i="4" s="1"/>
  <c r="AD230" i="4" s="1"/>
  <c r="AD231" i="4" s="1"/>
  <c r="AD232" i="4" s="1"/>
  <c r="AD233" i="4" s="1"/>
  <c r="AD234" i="4" s="1"/>
  <c r="AD235" i="4" s="1"/>
  <c r="AD236" i="4" s="1"/>
  <c r="AD237" i="4" s="1"/>
  <c r="AD238" i="4" s="1"/>
  <c r="AD239" i="4" s="1"/>
  <c r="AD240" i="4" s="1"/>
  <c r="AD241" i="4" s="1"/>
  <c r="AD242" i="4" s="1"/>
  <c r="AD243" i="4" s="1"/>
  <c r="AD244" i="4" s="1"/>
  <c r="AD245" i="4" s="1"/>
  <c r="AD246" i="4" s="1"/>
  <c r="AD247" i="4" s="1"/>
  <c r="AD248" i="4" s="1"/>
  <c r="AD249" i="4" s="1"/>
  <c r="AD250" i="4" s="1"/>
  <c r="AD251" i="4" s="1"/>
  <c r="AD252" i="4" s="1"/>
  <c r="AD253" i="4" s="1"/>
  <c r="AD254" i="4" s="1"/>
  <c r="AD255" i="4" s="1"/>
  <c r="AD256" i="4" s="1"/>
  <c r="AD257" i="4" s="1"/>
  <c r="AD258" i="4" s="1"/>
  <c r="AD259" i="4" s="1"/>
  <c r="AD260" i="4" s="1"/>
  <c r="AD261" i="4" s="1"/>
  <c r="AD262" i="4" s="1"/>
  <c r="AD263" i="4" s="1"/>
  <c r="AD264" i="4" s="1"/>
  <c r="AD265" i="4" s="1"/>
  <c r="AD266" i="4" s="1"/>
  <c r="AD267" i="4" s="1"/>
  <c r="AD268" i="4" s="1"/>
  <c r="AD269" i="4" s="1"/>
  <c r="AD270" i="4" s="1"/>
  <c r="AD271" i="4" s="1"/>
  <c r="AD272" i="4" s="1"/>
  <c r="AD273" i="4" s="1"/>
  <c r="AD274" i="4" s="1"/>
  <c r="AD275" i="4" s="1"/>
  <c r="AD276" i="4" s="1"/>
  <c r="AD277" i="4" s="1"/>
  <c r="AD278" i="4" s="1"/>
  <c r="AD279" i="4" s="1"/>
  <c r="AD280" i="4" s="1"/>
  <c r="AD281" i="4" s="1"/>
  <c r="AD282" i="4" s="1"/>
  <c r="AD283" i="4" s="1"/>
  <c r="AD284" i="4" s="1"/>
  <c r="AD285" i="4" s="1"/>
  <c r="AD286" i="4" s="1"/>
  <c r="AD287" i="4" s="1"/>
  <c r="AD288" i="4" s="1"/>
  <c r="AD289" i="4" s="1"/>
  <c r="AD290" i="4" s="1"/>
  <c r="AD291" i="4" s="1"/>
  <c r="AD292" i="4" s="1"/>
  <c r="AD293" i="4" s="1"/>
  <c r="AD294" i="4" s="1"/>
  <c r="AD295" i="4" s="1"/>
  <c r="AD296" i="4" s="1"/>
  <c r="AD297" i="4" s="1"/>
  <c r="AD298" i="4" s="1"/>
  <c r="AD299" i="4" s="1"/>
  <c r="AD300" i="4" s="1"/>
  <c r="AD301" i="4" s="1"/>
  <c r="AD302" i="4" s="1"/>
  <c r="AD303" i="4" s="1"/>
  <c r="AD304" i="4" s="1"/>
  <c r="AD305" i="4" s="1"/>
  <c r="AD306" i="4" s="1"/>
  <c r="AD307" i="4" s="1"/>
  <c r="AD308" i="4" s="1"/>
  <c r="AD309" i="4" s="1"/>
  <c r="AD310" i="4" s="1"/>
  <c r="AD311" i="4" s="1"/>
  <c r="AD312" i="4" s="1"/>
  <c r="AD313" i="4" s="1"/>
  <c r="AD314" i="4" s="1"/>
  <c r="AD315" i="4" s="1"/>
  <c r="AD316" i="4" s="1"/>
  <c r="AD317" i="4" s="1"/>
  <c r="AD318" i="4" s="1"/>
  <c r="AD319" i="4" s="1"/>
  <c r="AD320" i="4" s="1"/>
  <c r="AD321" i="4" s="1"/>
  <c r="AD322" i="4" s="1"/>
  <c r="AD323" i="4" s="1"/>
  <c r="AD324" i="4" s="1"/>
  <c r="AD325" i="4" s="1"/>
  <c r="AD326" i="4" s="1"/>
  <c r="AD327" i="4" s="1"/>
  <c r="AD328" i="4" s="1"/>
  <c r="AD329" i="4" s="1"/>
  <c r="AD330" i="4" s="1"/>
  <c r="AD331" i="4" s="1"/>
  <c r="AD332" i="4" s="1"/>
  <c r="AD333" i="4" s="1"/>
  <c r="AD334" i="4" s="1"/>
  <c r="AD335" i="4" s="1"/>
  <c r="AD336" i="4" s="1"/>
  <c r="AD337" i="4" s="1"/>
  <c r="AD338" i="4" s="1"/>
  <c r="AD339" i="4" s="1"/>
  <c r="AD340" i="4" s="1"/>
  <c r="AD341" i="4" s="1"/>
  <c r="AD342" i="4" s="1"/>
  <c r="AD343" i="4" s="1"/>
  <c r="AD344" i="4" s="1"/>
  <c r="AD345" i="4" s="1"/>
  <c r="AD346" i="4" s="1"/>
  <c r="AD347" i="4" s="1"/>
  <c r="AD348" i="4" s="1"/>
  <c r="AD349" i="4" s="1"/>
  <c r="AD350" i="4" s="1"/>
  <c r="AD351" i="4" s="1"/>
  <c r="AD352" i="4" s="1"/>
  <c r="AD353" i="4" s="1"/>
  <c r="AD354" i="4" s="1"/>
  <c r="AD355" i="4" s="1"/>
  <c r="AD356" i="4" s="1"/>
  <c r="AD357" i="4" s="1"/>
  <c r="AD358" i="4" s="1"/>
  <c r="AD359" i="4" s="1"/>
  <c r="AD360" i="4" s="1"/>
  <c r="AD361" i="4" s="1"/>
  <c r="AD362" i="4" s="1"/>
  <c r="AD363" i="4" s="1"/>
  <c r="AD364" i="4" s="1"/>
  <c r="AD365" i="4" s="1"/>
  <c r="AD366" i="4" s="1"/>
  <c r="AD367" i="4" s="1"/>
  <c r="AD368" i="4" s="1"/>
  <c r="AD369" i="4" s="1"/>
  <c r="AD370" i="4" s="1"/>
  <c r="AD371" i="4" s="1"/>
  <c r="AD372" i="4" s="1"/>
  <c r="AD373" i="4" s="1"/>
  <c r="AD374" i="4" s="1"/>
  <c r="AD375" i="4" s="1"/>
  <c r="AD376" i="4" s="1"/>
  <c r="AD377" i="4" s="1"/>
  <c r="AD378" i="4" s="1"/>
  <c r="AD379" i="4" s="1"/>
  <c r="AD380" i="4" s="1"/>
  <c r="AD381" i="4" s="1"/>
  <c r="AD382" i="4" s="1"/>
  <c r="AD383" i="4" s="1"/>
  <c r="AD384" i="4" s="1"/>
  <c r="AD385" i="4" s="1"/>
  <c r="AD386" i="4" s="1"/>
  <c r="AD387" i="4" s="1"/>
  <c r="AD388" i="4" s="1"/>
  <c r="AD389" i="4" s="1"/>
  <c r="AD390" i="4" s="1"/>
  <c r="AD391" i="4" s="1"/>
  <c r="AD392" i="4" s="1"/>
  <c r="AD393" i="4" s="1"/>
  <c r="AD394" i="4" s="1"/>
  <c r="AD395" i="4" s="1"/>
  <c r="AD396" i="4" s="1"/>
  <c r="AD397" i="4" s="1"/>
  <c r="AD398" i="4" s="1"/>
  <c r="W4" i="4"/>
  <c r="P3" i="4"/>
  <c r="O4" i="4"/>
  <c r="V6" i="4"/>
  <c r="W5" i="4"/>
  <c r="P4" i="4" l="1"/>
  <c r="O5" i="4"/>
  <c r="V7" i="4"/>
  <c r="W6" i="4"/>
  <c r="O6" i="4" l="1"/>
  <c r="P5" i="4"/>
  <c r="V8" i="4"/>
  <c r="W7" i="4"/>
  <c r="O7" i="4" l="1"/>
  <c r="P6" i="4"/>
  <c r="W8" i="4"/>
  <c r="V9" i="4"/>
  <c r="P7" i="4" l="1"/>
  <c r="O8" i="4"/>
  <c r="V10" i="4"/>
  <c r="W9" i="4"/>
  <c r="O9" i="4" l="1"/>
  <c r="P8" i="4"/>
  <c r="V11" i="4"/>
  <c r="W10" i="4"/>
  <c r="O10" i="4" l="1"/>
  <c r="P9" i="4"/>
  <c r="V12" i="4"/>
  <c r="W11" i="4"/>
  <c r="P10" i="4" l="1"/>
  <c r="O11" i="4"/>
  <c r="W12" i="4"/>
  <c r="V13" i="4"/>
  <c r="V14" i="4" l="1"/>
  <c r="W13" i="4"/>
  <c r="P11" i="4"/>
  <c r="O12" i="4"/>
  <c r="P12" i="4" l="1"/>
  <c r="O13" i="4"/>
  <c r="V15" i="4"/>
  <c r="W14" i="4"/>
  <c r="V16" i="4" l="1"/>
  <c r="W15" i="4"/>
  <c r="O14" i="4"/>
  <c r="P13" i="4"/>
  <c r="P14" i="4" l="1"/>
  <c r="O15" i="4"/>
  <c r="W16" i="4"/>
  <c r="V17" i="4"/>
  <c r="O16" i="4" l="1"/>
  <c r="P15" i="4"/>
  <c r="V18" i="4"/>
  <c r="W17" i="4"/>
  <c r="V19" i="4" l="1"/>
  <c r="W18" i="4"/>
  <c r="P16" i="4"/>
  <c r="O17" i="4"/>
  <c r="P17" i="4" l="1"/>
  <c r="O18" i="4"/>
  <c r="V20" i="4"/>
  <c r="W19" i="4"/>
  <c r="V21" i="4" l="1"/>
  <c r="W20" i="4"/>
  <c r="P18" i="4"/>
  <c r="O19" i="4"/>
  <c r="P19" i="4" l="1"/>
  <c r="O20" i="4"/>
  <c r="W21" i="4"/>
  <c r="V22" i="4"/>
  <c r="V23" i="4" l="1"/>
  <c r="W22" i="4"/>
  <c r="O21" i="4"/>
  <c r="P20" i="4"/>
  <c r="P21" i="4" l="1"/>
  <c r="O22" i="4"/>
  <c r="W23" i="4"/>
  <c r="V24" i="4"/>
  <c r="P22" i="4" l="1"/>
  <c r="O23" i="4"/>
  <c r="W24" i="4"/>
  <c r="V25" i="4"/>
  <c r="W25" i="4" l="1"/>
  <c r="V26" i="4"/>
  <c r="O24" i="4"/>
  <c r="P23" i="4"/>
  <c r="O25" i="4" l="1"/>
  <c r="P24" i="4"/>
  <c r="V27" i="4"/>
  <c r="W26" i="4"/>
  <c r="W27" i="4" l="1"/>
  <c r="V28" i="4"/>
  <c r="O26" i="4"/>
  <c r="P25" i="4"/>
  <c r="P26" i="4" l="1"/>
  <c r="O27" i="4"/>
  <c r="V29" i="4"/>
  <c r="W28" i="4"/>
  <c r="V30" i="4" l="1"/>
  <c r="W29" i="4"/>
  <c r="O28" i="4"/>
  <c r="P27" i="4"/>
  <c r="Q27" i="4" l="1"/>
  <c r="AE27" i="4" s="1"/>
  <c r="R27" i="4"/>
  <c r="AF27" i="4" s="1"/>
  <c r="O29" i="4"/>
  <c r="P28" i="4"/>
  <c r="V31" i="4"/>
  <c r="W30" i="4"/>
  <c r="Q28" i="4" l="1"/>
  <c r="AE28" i="4" s="1"/>
  <c r="R28" i="4"/>
  <c r="AF28" i="4" s="1"/>
  <c r="V32" i="4"/>
  <c r="W31" i="4"/>
  <c r="O30" i="4"/>
  <c r="P29" i="4"/>
  <c r="Q29" i="4" l="1"/>
  <c r="AE29" i="4" s="1"/>
  <c r="R29" i="4"/>
  <c r="AF29" i="4" s="1"/>
  <c r="P30" i="4"/>
  <c r="O31" i="4"/>
  <c r="W32" i="4"/>
  <c r="V33" i="4"/>
  <c r="Q30" i="4" l="1"/>
  <c r="AE30" i="4" s="1"/>
  <c r="R30" i="4"/>
  <c r="AF30" i="4" s="1"/>
  <c r="V34" i="4"/>
  <c r="W33" i="4"/>
  <c r="P31" i="4"/>
  <c r="O32" i="4"/>
  <c r="Q31" i="4" l="1"/>
  <c r="AE31" i="4" s="1"/>
  <c r="R31" i="4"/>
  <c r="AF31" i="4" s="1"/>
  <c r="P32" i="4"/>
  <c r="O33" i="4"/>
  <c r="V35" i="4"/>
  <c r="W34" i="4"/>
  <c r="R32" i="4" l="1"/>
  <c r="AF32" i="4" s="1"/>
  <c r="Q32" i="4"/>
  <c r="AE32" i="4" s="1"/>
  <c r="V36" i="4"/>
  <c r="W35" i="4"/>
  <c r="P33" i="4"/>
  <c r="O34" i="4"/>
  <c r="R33" i="4" l="1"/>
  <c r="AF33" i="4" s="1"/>
  <c r="Q33" i="4"/>
  <c r="AE33" i="4" s="1"/>
  <c r="P34" i="4"/>
  <c r="O35" i="4"/>
  <c r="W36" i="4"/>
  <c r="V37" i="4"/>
  <c r="AE34" i="4" l="1"/>
  <c r="Q34" i="4"/>
  <c r="R34" i="4"/>
  <c r="AF34" i="4" s="1"/>
  <c r="V38" i="4"/>
  <c r="W37" i="4"/>
  <c r="P35" i="4"/>
  <c r="O36" i="4"/>
  <c r="Q35" i="4" l="1"/>
  <c r="AE35" i="4" s="1"/>
  <c r="R35" i="4"/>
  <c r="AF35" i="4" s="1"/>
  <c r="P36" i="4"/>
  <c r="Q36" i="4" s="1"/>
  <c r="O37" i="4"/>
  <c r="W38" i="4"/>
  <c r="V39" i="4"/>
  <c r="AE36" i="4" l="1"/>
  <c r="R36" i="4"/>
  <c r="AF36" i="4" s="1"/>
  <c r="W39" i="4"/>
  <c r="V40" i="4"/>
  <c r="O38" i="4"/>
  <c r="P37" i="4"/>
  <c r="Q37" i="4" s="1"/>
  <c r="AE37" i="4" s="1"/>
  <c r="R37" i="4" l="1"/>
  <c r="AF37" i="4" s="1"/>
  <c r="P38" i="4"/>
  <c r="Q38" i="4" s="1"/>
  <c r="AE38" i="4" s="1"/>
  <c r="O39" i="4"/>
  <c r="V41" i="4"/>
  <c r="W40" i="4"/>
  <c r="R38" i="4" l="1"/>
  <c r="AF38" i="4" s="1"/>
  <c r="V42" i="4"/>
  <c r="W41" i="4"/>
  <c r="O40" i="4"/>
  <c r="P39" i="4"/>
  <c r="Q39" i="4" s="1"/>
  <c r="AE39" i="4" s="1"/>
  <c r="R39" i="4" l="1"/>
  <c r="AF39" i="4" s="1"/>
  <c r="O41" i="4"/>
  <c r="P40" i="4"/>
  <c r="W42" i="4"/>
  <c r="V43" i="4"/>
  <c r="R40" i="4" l="1"/>
  <c r="AF40" i="4" s="1"/>
  <c r="Q40" i="4"/>
  <c r="AE40" i="4" s="1"/>
  <c r="V44" i="4"/>
  <c r="W43" i="4"/>
  <c r="P41" i="4"/>
  <c r="O42" i="4"/>
  <c r="Q41" i="4" l="1"/>
  <c r="AE41" i="4" s="1"/>
  <c r="R41" i="4"/>
  <c r="AF41" i="4" s="1"/>
  <c r="P42" i="4"/>
  <c r="O43" i="4"/>
  <c r="W44" i="4"/>
  <c r="V45" i="4"/>
  <c r="Q42" i="4" l="1"/>
  <c r="AE42" i="4" s="1"/>
  <c r="R42" i="4"/>
  <c r="AF42" i="4" s="1"/>
  <c r="V46" i="4"/>
  <c r="W45" i="4"/>
  <c r="P43" i="4"/>
  <c r="O44" i="4"/>
  <c r="R43" i="4" l="1"/>
  <c r="AF43" i="4" s="1"/>
  <c r="Q43" i="4"/>
  <c r="AE43" i="4" s="1"/>
  <c r="P44" i="4"/>
  <c r="O45" i="4"/>
  <c r="V47" i="4"/>
  <c r="W46" i="4"/>
  <c r="Q44" i="4" l="1"/>
  <c r="AE44" i="4" s="1"/>
  <c r="R44" i="4"/>
  <c r="AF44" i="4" s="1"/>
  <c r="V48" i="4"/>
  <c r="W47" i="4"/>
  <c r="O46" i="4"/>
  <c r="P45" i="4"/>
  <c r="U45" i="4" s="1"/>
  <c r="AI45" i="4" s="1"/>
  <c r="S45" i="4" l="1"/>
  <c r="AG45" i="4" s="1"/>
  <c r="R45" i="4"/>
  <c r="AF45" i="4" s="1"/>
  <c r="Q45" i="4"/>
  <c r="AE45" i="4" s="1"/>
  <c r="T45" i="4"/>
  <c r="AH45" i="4" s="1"/>
  <c r="P46" i="4"/>
  <c r="U46" i="4" s="1"/>
  <c r="AI46" i="4" s="1"/>
  <c r="O47" i="4"/>
  <c r="W48" i="4"/>
  <c r="V49" i="4"/>
  <c r="S46" i="4" l="1"/>
  <c r="AG46" i="4" s="1"/>
  <c r="T46" i="4"/>
  <c r="AH46" i="4" s="1"/>
  <c r="R46" i="4"/>
  <c r="AF46" i="4" s="1"/>
  <c r="Q46" i="4"/>
  <c r="AE46" i="4" s="1"/>
  <c r="W49" i="4"/>
  <c r="V50" i="4"/>
  <c r="O48" i="4"/>
  <c r="P47" i="4"/>
  <c r="U47" i="4" s="1"/>
  <c r="AI47" i="4" s="1"/>
  <c r="Q47" i="4" l="1"/>
  <c r="AE47" i="4" s="1"/>
  <c r="R47" i="4"/>
  <c r="AF47" i="4" s="1"/>
  <c r="T47" i="4"/>
  <c r="AH47" i="4" s="1"/>
  <c r="S47" i="4"/>
  <c r="AG47" i="4" s="1"/>
  <c r="O49" i="4"/>
  <c r="P48" i="4"/>
  <c r="U48" i="4" s="1"/>
  <c r="AI48" i="4" s="1"/>
  <c r="W50" i="4"/>
  <c r="V51" i="4"/>
  <c r="T48" i="4" l="1"/>
  <c r="AH48" i="4" s="1"/>
  <c r="S48" i="4"/>
  <c r="AG48" i="4" s="1"/>
  <c r="R48" i="4"/>
  <c r="AF48" i="4" s="1"/>
  <c r="Q48" i="4"/>
  <c r="AE48" i="4" s="1"/>
  <c r="W51" i="4"/>
  <c r="V52" i="4"/>
  <c r="P49" i="4"/>
  <c r="U49" i="4" s="1"/>
  <c r="AI49" i="4" s="1"/>
  <c r="O50" i="4"/>
  <c r="T49" i="4" l="1"/>
  <c r="AH49" i="4" s="1"/>
  <c r="S49" i="4"/>
  <c r="AG49" i="4" s="1"/>
  <c r="Q49" i="4"/>
  <c r="AE49" i="4" s="1"/>
  <c r="R49" i="4"/>
  <c r="AF49" i="4" s="1"/>
  <c r="O51" i="4"/>
  <c r="P50" i="4"/>
  <c r="U50" i="4" s="1"/>
  <c r="AI50" i="4" s="1"/>
  <c r="W52" i="4"/>
  <c r="V53" i="4"/>
  <c r="R50" i="4" l="1"/>
  <c r="AF50" i="4" s="1"/>
  <c r="Q50" i="4"/>
  <c r="AE50" i="4" s="1"/>
  <c r="S50" i="4"/>
  <c r="AG50" i="4" s="1"/>
  <c r="T50" i="4"/>
  <c r="AH50" i="4" s="1"/>
  <c r="W53" i="4"/>
  <c r="V54" i="4"/>
  <c r="P51" i="4"/>
  <c r="U51" i="4" s="1"/>
  <c r="AI51" i="4" s="1"/>
  <c r="O52" i="4"/>
  <c r="R51" i="4" l="1"/>
  <c r="AF51" i="4" s="1"/>
  <c r="T51" i="4"/>
  <c r="AH51" i="4" s="1"/>
  <c r="S51" i="4"/>
  <c r="AG51" i="4" s="1"/>
  <c r="Q51" i="4"/>
  <c r="AE51" i="4" s="1"/>
  <c r="O53" i="4"/>
  <c r="P52" i="4"/>
  <c r="U52" i="4" s="1"/>
  <c r="AI52" i="4" s="1"/>
  <c r="W54" i="4"/>
  <c r="V55" i="4"/>
  <c r="T52" i="4" l="1"/>
  <c r="AH52" i="4" s="1"/>
  <c r="R52" i="4"/>
  <c r="AF52" i="4" s="1"/>
  <c r="S52" i="4"/>
  <c r="AG52" i="4" s="1"/>
  <c r="Q52" i="4"/>
  <c r="AE52" i="4" s="1"/>
  <c r="W55" i="4"/>
  <c r="V56" i="4"/>
  <c r="O54" i="4"/>
  <c r="P53" i="4"/>
  <c r="U53" i="4" s="1"/>
  <c r="AI53" i="4" s="1"/>
  <c r="S53" i="4" l="1"/>
  <c r="AG53" i="4" s="1"/>
  <c r="T53" i="4"/>
  <c r="AH53" i="4" s="1"/>
  <c r="R53" i="4"/>
  <c r="AF53" i="4" s="1"/>
  <c r="Q53" i="4"/>
  <c r="AE53" i="4" s="1"/>
  <c r="O55" i="4"/>
  <c r="P54" i="4"/>
  <c r="U54" i="4" s="1"/>
  <c r="AI54" i="4" s="1"/>
  <c r="W56" i="4"/>
  <c r="V57" i="4"/>
  <c r="S54" i="4" l="1"/>
  <c r="AG54" i="4" s="1"/>
  <c r="T54" i="4"/>
  <c r="AH54" i="4" s="1"/>
  <c r="R54" i="4"/>
  <c r="AF54" i="4" s="1"/>
  <c r="Q54" i="4"/>
  <c r="AE54" i="4" s="1"/>
  <c r="W57" i="4"/>
  <c r="V58" i="4"/>
  <c r="O56" i="4"/>
  <c r="P55" i="4"/>
  <c r="U55" i="4" s="1"/>
  <c r="AI55" i="4" s="1"/>
  <c r="Q55" i="4" l="1"/>
  <c r="AE55" i="4" s="1"/>
  <c r="R55" i="4"/>
  <c r="AF55" i="4" s="1"/>
  <c r="S55" i="4"/>
  <c r="AG55" i="4" s="1"/>
  <c r="T55" i="4"/>
  <c r="AH55" i="4" s="1"/>
  <c r="O57" i="4"/>
  <c r="P56" i="4"/>
  <c r="U56" i="4" s="1"/>
  <c r="AI56" i="4" s="1"/>
  <c r="W58" i="4"/>
  <c r="V59" i="4"/>
  <c r="T56" i="4" l="1"/>
  <c r="AH56" i="4" s="1"/>
  <c r="Q56" i="4"/>
  <c r="AE56" i="4" s="1"/>
  <c r="S56" i="4"/>
  <c r="AG56" i="4" s="1"/>
  <c r="R56" i="4"/>
  <c r="AF56" i="4" s="1"/>
  <c r="W59" i="4"/>
  <c r="V60" i="4"/>
  <c r="P57" i="4"/>
  <c r="U57" i="4" s="1"/>
  <c r="AI57" i="4" s="1"/>
  <c r="O58" i="4"/>
  <c r="T57" i="4" l="1"/>
  <c r="AH57" i="4" s="1"/>
  <c r="S57" i="4"/>
  <c r="AG57" i="4" s="1"/>
  <c r="R57" i="4"/>
  <c r="AF57" i="4" s="1"/>
  <c r="Q57" i="4"/>
  <c r="AE57" i="4" s="1"/>
  <c r="O59" i="4"/>
  <c r="P58" i="4"/>
  <c r="U58" i="4" s="1"/>
  <c r="AI58" i="4" s="1"/>
  <c r="W60" i="4"/>
  <c r="V61" i="4"/>
  <c r="R58" i="4" l="1"/>
  <c r="AF58" i="4" s="1"/>
  <c r="Q58" i="4"/>
  <c r="AE58" i="4" s="1"/>
  <c r="S58" i="4"/>
  <c r="AG58" i="4" s="1"/>
  <c r="T58" i="4"/>
  <c r="AH58" i="4" s="1"/>
  <c r="W61" i="4"/>
  <c r="V62" i="4"/>
  <c r="P59" i="4"/>
  <c r="U59" i="4" s="1"/>
  <c r="AI59" i="4" s="1"/>
  <c r="O60" i="4"/>
  <c r="T59" i="4" l="1"/>
  <c r="AH59" i="4" s="1"/>
  <c r="S59" i="4"/>
  <c r="AG59" i="4" s="1"/>
  <c r="R59" i="4"/>
  <c r="AF59" i="4" s="1"/>
  <c r="Q59" i="4"/>
  <c r="AE59" i="4" s="1"/>
  <c r="O61" i="4"/>
  <c r="P60" i="4"/>
  <c r="U60" i="4" s="1"/>
  <c r="AI60" i="4" s="1"/>
  <c r="W62" i="4"/>
  <c r="V63" i="4"/>
  <c r="T60" i="4" l="1"/>
  <c r="AH60" i="4" s="1"/>
  <c r="S60" i="4"/>
  <c r="AG60" i="4" s="1"/>
  <c r="R60" i="4"/>
  <c r="AF60" i="4" s="1"/>
  <c r="Q60" i="4"/>
  <c r="AE60" i="4" s="1"/>
  <c r="W63" i="4"/>
  <c r="V64" i="4"/>
  <c r="O62" i="4"/>
  <c r="P61" i="4"/>
  <c r="U61" i="4" s="1"/>
  <c r="AI61" i="4" s="1"/>
  <c r="S61" i="4" l="1"/>
  <c r="AG61" i="4" s="1"/>
  <c r="R61" i="4"/>
  <c r="AF61" i="4" s="1"/>
  <c r="Q61" i="4"/>
  <c r="AE61" i="4" s="1"/>
  <c r="T61" i="4"/>
  <c r="AH61" i="4" s="1"/>
  <c r="O63" i="4"/>
  <c r="P62" i="4"/>
  <c r="U62" i="4" s="1"/>
  <c r="AI62" i="4" s="1"/>
  <c r="W64" i="4"/>
  <c r="V65" i="4"/>
  <c r="S62" i="4" l="1"/>
  <c r="AG62" i="4" s="1"/>
  <c r="T62" i="4"/>
  <c r="AH62" i="4" s="1"/>
  <c r="R62" i="4"/>
  <c r="AF62" i="4" s="1"/>
  <c r="Q62" i="4"/>
  <c r="AE62" i="4" s="1"/>
  <c r="W65" i="4"/>
  <c r="V66" i="4"/>
  <c r="O64" i="4"/>
  <c r="P63" i="4"/>
  <c r="U63" i="4" s="1"/>
  <c r="AI63" i="4" s="1"/>
  <c r="Q63" i="4" l="1"/>
  <c r="AE63" i="4" s="1"/>
  <c r="R63" i="4"/>
  <c r="AF63" i="4" s="1"/>
  <c r="T63" i="4"/>
  <c r="AH63" i="4" s="1"/>
  <c r="S63" i="4"/>
  <c r="AG63" i="4" s="1"/>
  <c r="O65" i="4"/>
  <c r="P64" i="4"/>
  <c r="U64" i="4" s="1"/>
  <c r="AI64" i="4" s="1"/>
  <c r="W66" i="4"/>
  <c r="V67" i="4"/>
  <c r="T64" i="4" l="1"/>
  <c r="AH64" i="4" s="1"/>
  <c r="S64" i="4"/>
  <c r="AG64" i="4" s="1"/>
  <c r="R64" i="4"/>
  <c r="AF64" i="4" s="1"/>
  <c r="Q64" i="4"/>
  <c r="AE64" i="4" s="1"/>
  <c r="W67" i="4"/>
  <c r="V68" i="4"/>
  <c r="P65" i="4"/>
  <c r="U65" i="4" s="1"/>
  <c r="AI65" i="4" s="1"/>
  <c r="AI66" i="4" s="1"/>
  <c r="O66" i="4"/>
  <c r="T65" i="4" l="1"/>
  <c r="AH65" i="4" s="1"/>
  <c r="AH66" i="4" s="1"/>
  <c r="S65" i="4"/>
  <c r="AG65" i="4" s="1"/>
  <c r="AG66" i="4" s="1"/>
  <c r="Q65" i="4"/>
  <c r="AE65" i="4" s="1"/>
  <c r="AE66" i="4" s="1"/>
  <c r="R65" i="4"/>
  <c r="AF65" i="4" s="1"/>
  <c r="AF66" i="4" s="1"/>
  <c r="O67" i="4"/>
  <c r="P66" i="4"/>
  <c r="W68" i="4"/>
  <c r="V69" i="4"/>
  <c r="V70" i="4" l="1"/>
  <c r="W69" i="4"/>
  <c r="P67" i="4"/>
  <c r="U67" i="4" s="1"/>
  <c r="AI67" i="4" s="1"/>
  <c r="O68" i="4"/>
  <c r="T67" i="4" l="1"/>
  <c r="AH67" i="4" s="1"/>
  <c r="R67" i="4"/>
  <c r="AF67" i="4" s="1"/>
  <c r="S67" i="4"/>
  <c r="AG67" i="4" s="1"/>
  <c r="Q67" i="4"/>
  <c r="AE67" i="4" s="1"/>
  <c r="O69" i="4"/>
  <c r="P68" i="4"/>
  <c r="V71" i="4"/>
  <c r="W70" i="4"/>
  <c r="Q68" i="4" l="1"/>
  <c r="AE68" i="4" s="1"/>
  <c r="R68" i="4"/>
  <c r="AF68" i="4" s="1"/>
  <c r="U68" i="4"/>
  <c r="AI68" i="4" s="1"/>
  <c r="S68" i="4"/>
  <c r="AG68" i="4" s="1"/>
  <c r="T68" i="4"/>
  <c r="AH68" i="4" s="1"/>
  <c r="W71" i="4"/>
  <c r="V72" i="4"/>
  <c r="P69" i="4"/>
  <c r="O70" i="4"/>
  <c r="S69" i="4" l="1"/>
  <c r="AG69" i="4" s="1"/>
  <c r="T69" i="4"/>
  <c r="AH69" i="4" s="1"/>
  <c r="U69" i="4"/>
  <c r="AI69" i="4" s="1"/>
  <c r="Q69" i="4"/>
  <c r="AE69" i="4" s="1"/>
  <c r="R69" i="4"/>
  <c r="AF69" i="4" s="1"/>
  <c r="P70" i="4"/>
  <c r="O71" i="4"/>
  <c r="V73" i="4"/>
  <c r="W72" i="4"/>
  <c r="U70" i="4" l="1"/>
  <c r="AI70" i="4" s="1"/>
  <c r="Q70" i="4"/>
  <c r="AE70" i="4" s="1"/>
  <c r="S70" i="4"/>
  <c r="AG70" i="4" s="1"/>
  <c r="R70" i="4"/>
  <c r="AF70" i="4" s="1"/>
  <c r="T70" i="4"/>
  <c r="AH70" i="4" s="1"/>
  <c r="V74" i="4"/>
  <c r="W73" i="4"/>
  <c r="O72" i="4"/>
  <c r="P71" i="4"/>
  <c r="U71" i="4" s="1"/>
  <c r="AI71" i="4" l="1"/>
  <c r="T71" i="4"/>
  <c r="AH71" i="4" s="1"/>
  <c r="S71" i="4"/>
  <c r="AG71" i="4" s="1"/>
  <c r="R71" i="4"/>
  <c r="AF71" i="4" s="1"/>
  <c r="Q71" i="4"/>
  <c r="AE71" i="4" s="1"/>
  <c r="O73" i="4"/>
  <c r="P72" i="4"/>
  <c r="U72" i="4" s="1"/>
  <c r="AI72" i="4" s="1"/>
  <c r="W74" i="4"/>
  <c r="V75" i="4"/>
  <c r="Q72" i="4" l="1"/>
  <c r="AE72" i="4" s="1"/>
  <c r="R72" i="4"/>
  <c r="AF72" i="4" s="1"/>
  <c r="S72" i="4"/>
  <c r="AG72" i="4" s="1"/>
  <c r="T72" i="4"/>
  <c r="AH72" i="4" s="1"/>
  <c r="V76" i="4"/>
  <c r="W75" i="4"/>
  <c r="O74" i="4"/>
  <c r="P73" i="4"/>
  <c r="U73" i="4" s="1"/>
  <c r="AI73" i="4" s="1"/>
  <c r="T73" i="4" l="1"/>
  <c r="AH73" i="4" s="1"/>
  <c r="Q73" i="4"/>
  <c r="AE73" i="4" s="1"/>
  <c r="S73" i="4"/>
  <c r="AG73" i="4" s="1"/>
  <c r="R73" i="4"/>
  <c r="AF73" i="4" s="1"/>
  <c r="P74" i="4"/>
  <c r="U74" i="4" s="1"/>
  <c r="AI74" i="4" s="1"/>
  <c r="O75" i="4"/>
  <c r="W76" i="4"/>
  <c r="V77" i="4"/>
  <c r="T74" i="4" l="1"/>
  <c r="AH74" i="4" s="1"/>
  <c r="S74" i="4"/>
  <c r="AG74" i="4" s="1"/>
  <c r="R74" i="4"/>
  <c r="AF74" i="4" s="1"/>
  <c r="Q74" i="4"/>
  <c r="AE74" i="4" s="1"/>
  <c r="V78" i="4"/>
  <c r="W77" i="4"/>
  <c r="P75" i="4"/>
  <c r="U75" i="4" s="1"/>
  <c r="AI75" i="4" s="1"/>
  <c r="O76" i="4"/>
  <c r="R75" i="4" l="1"/>
  <c r="AF75" i="4" s="1"/>
  <c r="Q75" i="4"/>
  <c r="AE75" i="4" s="1"/>
  <c r="S75" i="4"/>
  <c r="AG75" i="4" s="1"/>
  <c r="T75" i="4"/>
  <c r="AH75" i="4" s="1"/>
  <c r="P76" i="4"/>
  <c r="U76" i="4" s="1"/>
  <c r="AI76" i="4" s="1"/>
  <c r="O77" i="4"/>
  <c r="V79" i="4"/>
  <c r="W78" i="4"/>
  <c r="T76" i="4" l="1"/>
  <c r="AH76" i="4" s="1"/>
  <c r="S76" i="4"/>
  <c r="AG76" i="4" s="1"/>
  <c r="R76" i="4"/>
  <c r="AF76" i="4" s="1"/>
  <c r="Q76" i="4"/>
  <c r="AE76" i="4" s="1"/>
  <c r="V80" i="4"/>
  <c r="W79" i="4"/>
  <c r="P77" i="4"/>
  <c r="U77" i="4" s="1"/>
  <c r="AI77" i="4" s="1"/>
  <c r="O78" i="4"/>
  <c r="Q77" i="4" l="1"/>
  <c r="AE77" i="4" s="1"/>
  <c r="T77" i="4"/>
  <c r="AH77" i="4" s="1"/>
  <c r="R77" i="4"/>
  <c r="AF77" i="4" s="1"/>
  <c r="S77" i="4"/>
  <c r="AG77" i="4" s="1"/>
  <c r="O79" i="4"/>
  <c r="P78" i="4"/>
  <c r="U78" i="4" s="1"/>
  <c r="AI78" i="4" s="1"/>
  <c r="W80" i="4"/>
  <c r="V81" i="4"/>
  <c r="S78" i="4" l="1"/>
  <c r="AG78" i="4" s="1"/>
  <c r="R78" i="4"/>
  <c r="AF78" i="4" s="1"/>
  <c r="Q78" i="4"/>
  <c r="AE78" i="4" s="1"/>
  <c r="T78" i="4"/>
  <c r="AH78" i="4" s="1"/>
  <c r="V82" i="4"/>
  <c r="W81" i="4"/>
  <c r="O80" i="4"/>
  <c r="P79" i="4"/>
  <c r="U79" i="4" s="1"/>
  <c r="AI79" i="4" s="1"/>
  <c r="S79" i="4" l="1"/>
  <c r="AG79" i="4" s="1"/>
  <c r="T79" i="4"/>
  <c r="AH79" i="4" s="1"/>
  <c r="R79" i="4"/>
  <c r="AF79" i="4" s="1"/>
  <c r="Q79" i="4"/>
  <c r="AE79" i="4" s="1"/>
  <c r="P80" i="4"/>
  <c r="U80" i="4" s="1"/>
  <c r="AI80" i="4" s="1"/>
  <c r="O81" i="4"/>
  <c r="W82" i="4"/>
  <c r="V83" i="4"/>
  <c r="S80" i="4" l="1"/>
  <c r="AG80" i="4" s="1"/>
  <c r="R80" i="4"/>
  <c r="AF80" i="4" s="1"/>
  <c r="T80" i="4"/>
  <c r="AH80" i="4" s="1"/>
  <c r="Q80" i="4"/>
  <c r="AE80" i="4" s="1"/>
  <c r="V84" i="4"/>
  <c r="W83" i="4"/>
  <c r="P81" i="4"/>
  <c r="U81" i="4" s="1"/>
  <c r="AI81" i="4" s="1"/>
  <c r="O82" i="4"/>
  <c r="S81" i="4" l="1"/>
  <c r="AG81" i="4" s="1"/>
  <c r="R81" i="4"/>
  <c r="AF81" i="4" s="1"/>
  <c r="Q81" i="4"/>
  <c r="AE81" i="4" s="1"/>
  <c r="T81" i="4"/>
  <c r="AH81" i="4" s="1"/>
  <c r="AC7" i="3"/>
  <c r="AD5" i="3" s="1"/>
  <c r="W106" i="3"/>
  <c r="X106" i="3" s="1"/>
  <c r="P82" i="4"/>
  <c r="U82" i="4" s="1"/>
  <c r="AI82" i="4" s="1"/>
  <c r="O83" i="4"/>
  <c r="W84" i="4"/>
  <c r="V85" i="4"/>
  <c r="AF106" i="3" l="1"/>
  <c r="AG106" i="3"/>
  <c r="T82" i="4"/>
  <c r="AH82" i="4" s="1"/>
  <c r="R82" i="4"/>
  <c r="AF82" i="4" s="1"/>
  <c r="Q82" i="4"/>
  <c r="AE82" i="4" s="1"/>
  <c r="S82" i="4"/>
  <c r="AG82" i="4" s="1"/>
  <c r="AD6" i="3"/>
  <c r="V86" i="4"/>
  <c r="W85" i="4"/>
  <c r="O84" i="4"/>
  <c r="P83" i="4"/>
  <c r="U83" i="4" s="1"/>
  <c r="AI83" i="4" s="1"/>
  <c r="Q83" i="4" l="1"/>
  <c r="AE83" i="4" s="1"/>
  <c r="T83" i="4"/>
  <c r="AH83" i="4" s="1"/>
  <c r="S83" i="4"/>
  <c r="AG83" i="4" s="1"/>
  <c r="R83" i="4"/>
  <c r="AF83" i="4" s="1"/>
  <c r="P84" i="4"/>
  <c r="U84" i="4" s="1"/>
  <c r="AI84" i="4" s="1"/>
  <c r="O85" i="4"/>
  <c r="W86" i="4"/>
  <c r="V87" i="4"/>
  <c r="T84" i="4" l="1"/>
  <c r="AH84" i="4" s="1"/>
  <c r="S84" i="4"/>
  <c r="AG84" i="4" s="1"/>
  <c r="R84" i="4"/>
  <c r="AF84" i="4" s="1"/>
  <c r="Q84" i="4"/>
  <c r="AE84" i="4" s="1"/>
  <c r="V88" i="4"/>
  <c r="W87" i="4"/>
  <c r="O86" i="4"/>
  <c r="P85" i="4"/>
  <c r="U85" i="4" s="1"/>
  <c r="AI85" i="4" s="1"/>
  <c r="S85" i="4" l="1"/>
  <c r="AG85" i="4" s="1"/>
  <c r="R85" i="4"/>
  <c r="AF85" i="4" s="1"/>
  <c r="Q85" i="4"/>
  <c r="AE85" i="4" s="1"/>
  <c r="T85" i="4"/>
  <c r="AH85" i="4" s="1"/>
  <c r="P86" i="4"/>
  <c r="U86" i="4" s="1"/>
  <c r="AI86" i="4" s="1"/>
  <c r="O87" i="4"/>
  <c r="W88" i="4"/>
  <c r="V89" i="4"/>
  <c r="R86" i="4" l="1"/>
  <c r="AF86" i="4" s="1"/>
  <c r="Q86" i="4"/>
  <c r="AE86" i="4" s="1"/>
  <c r="T86" i="4"/>
  <c r="AH86" i="4" s="1"/>
  <c r="S86" i="4"/>
  <c r="AG86" i="4" s="1"/>
  <c r="V90" i="4"/>
  <c r="W89" i="4"/>
  <c r="O88" i="4"/>
  <c r="P87" i="4"/>
  <c r="U87" i="4" s="1"/>
  <c r="AI87" i="4" s="1"/>
  <c r="T87" i="4" l="1"/>
  <c r="AH87" i="4" s="1"/>
  <c r="S87" i="4"/>
  <c r="AG87" i="4" s="1"/>
  <c r="Q87" i="4"/>
  <c r="AE87" i="4" s="1"/>
  <c r="R87" i="4"/>
  <c r="AF87" i="4" s="1"/>
  <c r="P88" i="4"/>
  <c r="U88" i="4" s="1"/>
  <c r="AI88" i="4" s="1"/>
  <c r="O89" i="4"/>
  <c r="W90" i="4"/>
  <c r="V91" i="4"/>
  <c r="T88" i="4" l="1"/>
  <c r="AH88" i="4" s="1"/>
  <c r="S88" i="4"/>
  <c r="AG88" i="4" s="1"/>
  <c r="R88" i="4"/>
  <c r="AF88" i="4" s="1"/>
  <c r="Q88" i="4"/>
  <c r="AE88" i="4" s="1"/>
  <c r="P89" i="4"/>
  <c r="U89" i="4" s="1"/>
  <c r="AI89" i="4" s="1"/>
  <c r="O90" i="4"/>
  <c r="V92" i="4"/>
  <c r="W91" i="4"/>
  <c r="S89" i="4" l="1"/>
  <c r="AG89" i="4" s="1"/>
  <c r="R89" i="4"/>
  <c r="AF89" i="4" s="1"/>
  <c r="Q89" i="4"/>
  <c r="AE89" i="4" s="1"/>
  <c r="T89" i="4"/>
  <c r="AH89" i="4" s="1"/>
  <c r="W92" i="4"/>
  <c r="V93" i="4"/>
  <c r="P90" i="4"/>
  <c r="U90" i="4" s="1"/>
  <c r="AI90" i="4" s="1"/>
  <c r="O91" i="4"/>
  <c r="T90" i="4" l="1"/>
  <c r="AH90" i="4" s="1"/>
  <c r="R90" i="4"/>
  <c r="AF90" i="4" s="1"/>
  <c r="Q90" i="4"/>
  <c r="AE90" i="4" s="1"/>
  <c r="S90" i="4"/>
  <c r="AG90" i="4" s="1"/>
  <c r="O92" i="4"/>
  <c r="P91" i="4"/>
  <c r="U91" i="4" s="1"/>
  <c r="AI91" i="4" s="1"/>
  <c r="V94" i="4"/>
  <c r="W93" i="4"/>
  <c r="Q91" i="4" l="1"/>
  <c r="AE91" i="4" s="1"/>
  <c r="T91" i="4"/>
  <c r="AH91" i="4" s="1"/>
  <c r="S91" i="4"/>
  <c r="AG91" i="4" s="1"/>
  <c r="R91" i="4"/>
  <c r="AF91" i="4" s="1"/>
  <c r="W94" i="4"/>
  <c r="V95" i="4"/>
  <c r="P92" i="4"/>
  <c r="U92" i="4" s="1"/>
  <c r="AI92" i="4" s="1"/>
  <c r="O93" i="4"/>
  <c r="T92" i="4" l="1"/>
  <c r="AH92" i="4" s="1"/>
  <c r="S92" i="4"/>
  <c r="AG92" i="4" s="1"/>
  <c r="R92" i="4"/>
  <c r="AF92" i="4" s="1"/>
  <c r="Q92" i="4"/>
  <c r="AE92" i="4" s="1"/>
  <c r="O94" i="4"/>
  <c r="P93" i="4"/>
  <c r="U93" i="4" s="1"/>
  <c r="AI93" i="4" s="1"/>
  <c r="V96" i="4"/>
  <c r="W95" i="4"/>
  <c r="S93" i="4" l="1"/>
  <c r="AG93" i="4" s="1"/>
  <c r="R93" i="4"/>
  <c r="AF93" i="4" s="1"/>
  <c r="Q93" i="4"/>
  <c r="AE93" i="4" s="1"/>
  <c r="T93" i="4"/>
  <c r="AH93" i="4" s="1"/>
  <c r="V97" i="4"/>
  <c r="W96" i="4"/>
  <c r="P94" i="4"/>
  <c r="U94" i="4" s="1"/>
  <c r="AI94" i="4" s="1"/>
  <c r="O95" i="4"/>
  <c r="R94" i="4" l="1"/>
  <c r="AF94" i="4" s="1"/>
  <c r="Q94" i="4"/>
  <c r="AE94" i="4" s="1"/>
  <c r="T94" i="4"/>
  <c r="AH94" i="4" s="1"/>
  <c r="S94" i="4"/>
  <c r="AG94" i="4" s="1"/>
  <c r="O96" i="4"/>
  <c r="P95" i="4"/>
  <c r="U95" i="4" s="1"/>
  <c r="AI95" i="4" s="1"/>
  <c r="V98" i="4"/>
  <c r="W97" i="4"/>
  <c r="T95" i="4" l="1"/>
  <c r="AH95" i="4" s="1"/>
  <c r="S95" i="4"/>
  <c r="AG95" i="4" s="1"/>
  <c r="Q95" i="4"/>
  <c r="AE95" i="4" s="1"/>
  <c r="R95" i="4"/>
  <c r="AF95" i="4" s="1"/>
  <c r="W98" i="4"/>
  <c r="V99" i="4"/>
  <c r="P96" i="4"/>
  <c r="U96" i="4" s="1"/>
  <c r="AI96" i="4" s="1"/>
  <c r="O97" i="4"/>
  <c r="T96" i="4" l="1"/>
  <c r="AH96" i="4" s="1"/>
  <c r="S96" i="4"/>
  <c r="AG96" i="4" s="1"/>
  <c r="R96" i="4"/>
  <c r="AF96" i="4" s="1"/>
  <c r="Q96" i="4"/>
  <c r="AE96" i="4" s="1"/>
  <c r="P97" i="4"/>
  <c r="U97" i="4" s="1"/>
  <c r="AI97" i="4" s="1"/>
  <c r="O98" i="4"/>
  <c r="V100" i="4"/>
  <c r="W99" i="4"/>
  <c r="S97" i="4" l="1"/>
  <c r="AG97" i="4" s="1"/>
  <c r="R97" i="4"/>
  <c r="AF97" i="4" s="1"/>
  <c r="Q97" i="4"/>
  <c r="AE97" i="4" s="1"/>
  <c r="T97" i="4"/>
  <c r="AH97" i="4" s="1"/>
  <c r="V101" i="4"/>
  <c r="W100" i="4"/>
  <c r="P98" i="4"/>
  <c r="U98" i="4" s="1"/>
  <c r="AI98" i="4" s="1"/>
  <c r="O99" i="4"/>
  <c r="T98" i="4" l="1"/>
  <c r="AH98" i="4" s="1"/>
  <c r="R98" i="4"/>
  <c r="AF98" i="4" s="1"/>
  <c r="Q98" i="4"/>
  <c r="AE98" i="4" s="1"/>
  <c r="S98" i="4"/>
  <c r="AG98" i="4" s="1"/>
  <c r="O100" i="4"/>
  <c r="P99" i="4"/>
  <c r="U99" i="4" s="1"/>
  <c r="AI99" i="4" s="1"/>
  <c r="W101" i="4"/>
  <c r="V102" i="4"/>
  <c r="Q99" i="4" l="1"/>
  <c r="AE99" i="4" s="1"/>
  <c r="T99" i="4"/>
  <c r="AH99" i="4" s="1"/>
  <c r="S99" i="4"/>
  <c r="AG99" i="4" s="1"/>
  <c r="R99" i="4"/>
  <c r="AF99" i="4" s="1"/>
  <c r="W102" i="4"/>
  <c r="V103" i="4"/>
  <c r="O101" i="4"/>
  <c r="P100" i="4"/>
  <c r="U100" i="4" s="1"/>
  <c r="AI100" i="4" s="1"/>
  <c r="T100" i="4" l="1"/>
  <c r="AH100" i="4" s="1"/>
  <c r="S100" i="4"/>
  <c r="AG100" i="4" s="1"/>
  <c r="R100" i="4"/>
  <c r="AF100" i="4" s="1"/>
  <c r="Q100" i="4"/>
  <c r="AE100" i="4" s="1"/>
  <c r="P101" i="4"/>
  <c r="U101" i="4" s="1"/>
  <c r="AI101" i="4" s="1"/>
  <c r="O102" i="4"/>
  <c r="V104" i="4"/>
  <c r="W103" i="4"/>
  <c r="S101" i="4" l="1"/>
  <c r="AG101" i="4" s="1"/>
  <c r="R101" i="4"/>
  <c r="AF101" i="4" s="1"/>
  <c r="Q101" i="4"/>
  <c r="AE101" i="4" s="1"/>
  <c r="T101" i="4"/>
  <c r="AH101" i="4" s="1"/>
  <c r="V105" i="4"/>
  <c r="W104" i="4"/>
  <c r="P102" i="4"/>
  <c r="U102" i="4" s="1"/>
  <c r="AI102" i="4" s="1"/>
  <c r="O103" i="4"/>
  <c r="R102" i="4" l="1"/>
  <c r="AF102" i="4" s="1"/>
  <c r="Q102" i="4"/>
  <c r="AE102" i="4" s="1"/>
  <c r="T102" i="4"/>
  <c r="AH102" i="4" s="1"/>
  <c r="S102" i="4"/>
  <c r="AG102" i="4" s="1"/>
  <c r="O104" i="4"/>
  <c r="P103" i="4"/>
  <c r="U103" i="4" s="1"/>
  <c r="AI103" i="4" s="1"/>
  <c r="W105" i="4"/>
  <c r="V106" i="4"/>
  <c r="T103" i="4" l="1"/>
  <c r="AH103" i="4" s="1"/>
  <c r="S103" i="4"/>
  <c r="AG103" i="4" s="1"/>
  <c r="Q103" i="4"/>
  <c r="AE103" i="4" s="1"/>
  <c r="R103" i="4"/>
  <c r="AF103" i="4" s="1"/>
  <c r="V107" i="4"/>
  <c r="W106" i="4"/>
  <c r="O105" i="4"/>
  <c r="P104" i="4"/>
  <c r="U104" i="4" s="1"/>
  <c r="AI104" i="4" s="1"/>
  <c r="T104" i="4" l="1"/>
  <c r="AH104" i="4" s="1"/>
  <c r="S104" i="4"/>
  <c r="AG104" i="4" s="1"/>
  <c r="R104" i="4"/>
  <c r="AF104" i="4" s="1"/>
  <c r="Q104" i="4"/>
  <c r="AE104" i="4" s="1"/>
  <c r="O106" i="4"/>
  <c r="P105" i="4"/>
  <c r="U105" i="4" s="1"/>
  <c r="AI105" i="4" s="1"/>
  <c r="V108" i="4"/>
  <c r="W107" i="4"/>
  <c r="S105" i="4" l="1"/>
  <c r="AG105" i="4" s="1"/>
  <c r="R105" i="4"/>
  <c r="AF105" i="4" s="1"/>
  <c r="Q105" i="4"/>
  <c r="AE105" i="4" s="1"/>
  <c r="T105" i="4"/>
  <c r="AH105" i="4" s="1"/>
  <c r="V109" i="4"/>
  <c r="W108" i="4"/>
  <c r="O107" i="4"/>
  <c r="P106" i="4"/>
  <c r="U106" i="4" s="1"/>
  <c r="AI106" i="4" s="1"/>
  <c r="T106" i="4" l="1"/>
  <c r="AH106" i="4" s="1"/>
  <c r="R106" i="4"/>
  <c r="AF106" i="4" s="1"/>
  <c r="Q106" i="4"/>
  <c r="AE106" i="4" s="1"/>
  <c r="S106" i="4"/>
  <c r="AG106" i="4" s="1"/>
  <c r="O108" i="4"/>
  <c r="P107" i="4"/>
  <c r="U107" i="4" s="1"/>
  <c r="AI107" i="4" s="1"/>
  <c r="V110" i="4"/>
  <c r="W109" i="4"/>
  <c r="Q107" i="4" l="1"/>
  <c r="AE107" i="4" s="1"/>
  <c r="T107" i="4"/>
  <c r="AH107" i="4" s="1"/>
  <c r="S107" i="4"/>
  <c r="AG107" i="4" s="1"/>
  <c r="R107" i="4"/>
  <c r="AF107" i="4" s="1"/>
  <c r="W110" i="4"/>
  <c r="V111" i="4"/>
  <c r="O109" i="4"/>
  <c r="P108" i="4"/>
  <c r="U108" i="4" s="1"/>
  <c r="AI108" i="4" s="1"/>
  <c r="T108" i="4" l="1"/>
  <c r="AH108" i="4" s="1"/>
  <c r="S108" i="4"/>
  <c r="AG108" i="4" s="1"/>
  <c r="R108" i="4"/>
  <c r="AF108" i="4" s="1"/>
  <c r="Q108" i="4"/>
  <c r="AE108" i="4" s="1"/>
  <c r="O110" i="4"/>
  <c r="P109" i="4"/>
  <c r="U109" i="4" s="1"/>
  <c r="AI109" i="4" s="1"/>
  <c r="V112" i="4"/>
  <c r="W111" i="4"/>
  <c r="S109" i="4" l="1"/>
  <c r="AG109" i="4" s="1"/>
  <c r="R109" i="4"/>
  <c r="AF109" i="4" s="1"/>
  <c r="Q109" i="4"/>
  <c r="AE109" i="4" s="1"/>
  <c r="T109" i="4"/>
  <c r="AH109" i="4" s="1"/>
  <c r="W112" i="4"/>
  <c r="V113" i="4"/>
  <c r="P110" i="4"/>
  <c r="U110" i="4" s="1"/>
  <c r="AI110" i="4" s="1"/>
  <c r="O111" i="4"/>
  <c r="R110" i="4" l="1"/>
  <c r="AF110" i="4" s="1"/>
  <c r="Q110" i="4"/>
  <c r="AE110" i="4" s="1"/>
  <c r="T110" i="4"/>
  <c r="AH110" i="4" s="1"/>
  <c r="S110" i="4"/>
  <c r="AG110" i="4" s="1"/>
  <c r="O112" i="4"/>
  <c r="P111" i="4"/>
  <c r="U111" i="4" s="1"/>
  <c r="AI111" i="4" s="1"/>
  <c r="V114" i="4"/>
  <c r="W113" i="4"/>
  <c r="T111" i="4" l="1"/>
  <c r="AH111" i="4" s="1"/>
  <c r="S111" i="4"/>
  <c r="AG111" i="4" s="1"/>
  <c r="Q111" i="4"/>
  <c r="AE111" i="4" s="1"/>
  <c r="R111" i="4"/>
  <c r="AF111" i="4" s="1"/>
  <c r="W114" i="4"/>
  <c r="V115" i="4"/>
  <c r="P112" i="4"/>
  <c r="U112" i="4" s="1"/>
  <c r="AI112" i="4" s="1"/>
  <c r="O113" i="4"/>
  <c r="Q112" i="4" l="1"/>
  <c r="AE112" i="4" s="1"/>
  <c r="T112" i="4"/>
  <c r="AH112" i="4" s="1"/>
  <c r="S112" i="4"/>
  <c r="AG112" i="4" s="1"/>
  <c r="R112" i="4"/>
  <c r="AF112" i="4" s="1"/>
  <c r="P113" i="4"/>
  <c r="U113" i="4" s="1"/>
  <c r="AI113" i="4" s="1"/>
  <c r="O114" i="4"/>
  <c r="V116" i="4"/>
  <c r="W115" i="4"/>
  <c r="T113" i="4" l="1"/>
  <c r="AH113" i="4" s="1"/>
  <c r="S113" i="4"/>
  <c r="AG113" i="4" s="1"/>
  <c r="R113" i="4"/>
  <c r="AF113" i="4" s="1"/>
  <c r="Q113" i="4"/>
  <c r="AE113" i="4" s="1"/>
  <c r="W116" i="4"/>
  <c r="V117" i="4"/>
  <c r="P114" i="4"/>
  <c r="U114" i="4" s="1"/>
  <c r="AI114" i="4" s="1"/>
  <c r="AI115" i="4" s="1"/>
  <c r="AI116" i="4" s="1"/>
  <c r="AI117" i="4" s="1"/>
  <c r="AI118" i="4" s="1"/>
  <c r="AI119" i="4" s="1"/>
  <c r="O115" i="4"/>
  <c r="T114" i="4" l="1"/>
  <c r="AH114" i="4" s="1"/>
  <c r="AH115" i="4" s="1"/>
  <c r="AH116" i="4" s="1"/>
  <c r="AH117" i="4" s="1"/>
  <c r="AH118" i="4" s="1"/>
  <c r="AH119" i="4" s="1"/>
  <c r="R114" i="4"/>
  <c r="AF114" i="4" s="1"/>
  <c r="AF115" i="4" s="1"/>
  <c r="AF116" i="4" s="1"/>
  <c r="AF117" i="4" s="1"/>
  <c r="AF118" i="4" s="1"/>
  <c r="AF119" i="4" s="1"/>
  <c r="Q114" i="4"/>
  <c r="AE114" i="4" s="1"/>
  <c r="AE115" i="4" s="1"/>
  <c r="AE116" i="4" s="1"/>
  <c r="AE117" i="4" s="1"/>
  <c r="AE118" i="4" s="1"/>
  <c r="AE119" i="4" s="1"/>
  <c r="S114" i="4"/>
  <c r="AG114" i="4" s="1"/>
  <c r="AG115" i="4" s="1"/>
  <c r="AG116" i="4" s="1"/>
  <c r="AG117" i="4" s="1"/>
  <c r="AG118" i="4" s="1"/>
  <c r="AG119" i="4" s="1"/>
  <c r="O116" i="4"/>
  <c r="P115" i="4"/>
  <c r="V118" i="4"/>
  <c r="W117" i="4"/>
  <c r="W118" i="4" l="1"/>
  <c r="V119" i="4"/>
  <c r="P116" i="4"/>
  <c r="O117" i="4"/>
  <c r="O118" i="4" l="1"/>
  <c r="P117" i="4"/>
  <c r="W119" i="4"/>
  <c r="V120" i="4"/>
  <c r="V121" i="4" l="1"/>
  <c r="W120" i="4"/>
  <c r="P118" i="4"/>
  <c r="O119" i="4"/>
  <c r="O120" i="4" l="1"/>
  <c r="P119" i="4"/>
  <c r="W121" i="4"/>
  <c r="V122" i="4"/>
  <c r="V123" i="4" l="1"/>
  <c r="W122" i="4"/>
  <c r="O121" i="4"/>
  <c r="P120" i="4"/>
  <c r="S120" i="4" l="1"/>
  <c r="AG120" i="4" s="1"/>
  <c r="Q120" i="4"/>
  <c r="AE120" i="4" s="1"/>
  <c r="U120" i="4"/>
  <c r="AI120" i="4" s="1"/>
  <c r="T120" i="4"/>
  <c r="AH120" i="4" s="1"/>
  <c r="R120" i="4"/>
  <c r="AF120" i="4" s="1"/>
  <c r="O122" i="4"/>
  <c r="P121" i="4"/>
  <c r="V124" i="4"/>
  <c r="W123" i="4"/>
  <c r="AE121" i="4" l="1"/>
  <c r="AE122" i="4" s="1"/>
  <c r="R121" i="4"/>
  <c r="AF121" i="4" s="1"/>
  <c r="AF122" i="4" s="1"/>
  <c r="S121" i="4"/>
  <c r="AG121" i="4" s="1"/>
  <c r="AG122" i="4" s="1"/>
  <c r="T121" i="4"/>
  <c r="AH121" i="4" s="1"/>
  <c r="AH122" i="4" s="1"/>
  <c r="U121" i="4"/>
  <c r="AI121" i="4" s="1"/>
  <c r="AI122" i="4" s="1"/>
  <c r="Q121" i="4"/>
  <c r="W124" i="4"/>
  <c r="V125" i="4"/>
  <c r="O123" i="4"/>
  <c r="P122" i="4"/>
  <c r="O124" i="4" l="1"/>
  <c r="P123" i="4"/>
  <c r="W125" i="4"/>
  <c r="V126" i="4"/>
  <c r="U123" i="4" l="1"/>
  <c r="AI123" i="4" s="1"/>
  <c r="Q123" i="4"/>
  <c r="AE123" i="4" s="1"/>
  <c r="R123" i="4"/>
  <c r="AF123" i="4" s="1"/>
  <c r="S123" i="4"/>
  <c r="AG123" i="4" s="1"/>
  <c r="T123" i="4"/>
  <c r="AH123" i="4" s="1"/>
  <c r="W126" i="4"/>
  <c r="V127" i="4"/>
  <c r="O125" i="4"/>
  <c r="P124" i="4"/>
  <c r="U124" i="4" s="1"/>
  <c r="AI124" i="4" l="1"/>
  <c r="R124" i="4"/>
  <c r="AF124" i="4" s="1"/>
  <c r="Q124" i="4"/>
  <c r="AE124" i="4" s="1"/>
  <c r="T124" i="4"/>
  <c r="AH124" i="4" s="1"/>
  <c r="S124" i="4"/>
  <c r="AG124" i="4" s="1"/>
  <c r="O126" i="4"/>
  <c r="P125" i="4"/>
  <c r="U125" i="4" s="1"/>
  <c r="W127" i="4"/>
  <c r="V128" i="4"/>
  <c r="AI125" i="4" l="1"/>
  <c r="T125" i="4"/>
  <c r="AH125" i="4" s="1"/>
  <c r="S125" i="4"/>
  <c r="AG125" i="4" s="1"/>
  <c r="R125" i="4"/>
  <c r="AF125" i="4" s="1"/>
  <c r="Q125" i="4"/>
  <c r="AE125" i="4" s="1"/>
  <c r="W128" i="4"/>
  <c r="V129" i="4"/>
  <c r="O127" i="4"/>
  <c r="P126" i="4"/>
  <c r="U126" i="4" s="1"/>
  <c r="AI126" i="4" l="1"/>
  <c r="S126" i="4"/>
  <c r="AG126" i="4" s="1"/>
  <c r="R126" i="4"/>
  <c r="AF126" i="4" s="1"/>
  <c r="Q126" i="4"/>
  <c r="AE126" i="4" s="1"/>
  <c r="T126" i="4"/>
  <c r="AH126" i="4" s="1"/>
  <c r="P127" i="4"/>
  <c r="U127" i="4" s="1"/>
  <c r="O128" i="4"/>
  <c r="W129" i="4"/>
  <c r="V130" i="4"/>
  <c r="AI127" i="4" l="1"/>
  <c r="S127" i="4"/>
  <c r="AG127" i="4" s="1"/>
  <c r="R127" i="4"/>
  <c r="AF127" i="4" s="1"/>
  <c r="Q127" i="4"/>
  <c r="AE127" i="4" s="1"/>
  <c r="T127" i="4"/>
  <c r="AH127" i="4" s="1"/>
  <c r="W130" i="4"/>
  <c r="V131" i="4"/>
  <c r="O129" i="4"/>
  <c r="P128" i="4"/>
  <c r="U128" i="4" s="1"/>
  <c r="AI128" i="4" l="1"/>
  <c r="T128" i="4"/>
  <c r="AH128" i="4" s="1"/>
  <c r="S128" i="4"/>
  <c r="AG128" i="4" s="1"/>
  <c r="Q128" i="4"/>
  <c r="AE128" i="4" s="1"/>
  <c r="R128" i="4"/>
  <c r="AF128" i="4" s="1"/>
  <c r="P129" i="4"/>
  <c r="U129" i="4" s="1"/>
  <c r="O130" i="4"/>
  <c r="W131" i="4"/>
  <c r="V132" i="4"/>
  <c r="AI129" i="4" l="1"/>
  <c r="Q129" i="4"/>
  <c r="AE129" i="4" s="1"/>
  <c r="T129" i="4"/>
  <c r="AH129" i="4" s="1"/>
  <c r="S129" i="4"/>
  <c r="AG129" i="4" s="1"/>
  <c r="R129" i="4"/>
  <c r="AF129" i="4" s="1"/>
  <c r="W132" i="4"/>
  <c r="V133" i="4"/>
  <c r="O131" i="4"/>
  <c r="P130" i="4"/>
  <c r="U130" i="4" s="1"/>
  <c r="AI130" i="4" s="1"/>
  <c r="T130" i="4" l="1"/>
  <c r="AH130" i="4" s="1"/>
  <c r="S130" i="4"/>
  <c r="AG130" i="4" s="1"/>
  <c r="R130" i="4"/>
  <c r="AF130" i="4" s="1"/>
  <c r="Q130" i="4"/>
  <c r="AE130" i="4" s="1"/>
  <c r="P131" i="4"/>
  <c r="U131" i="4" s="1"/>
  <c r="AI131" i="4" s="1"/>
  <c r="O132" i="4"/>
  <c r="W133" i="4"/>
  <c r="V134" i="4"/>
  <c r="T131" i="4" l="1"/>
  <c r="AH131" i="4" s="1"/>
  <c r="R131" i="4"/>
  <c r="AF131" i="4" s="1"/>
  <c r="Q131" i="4"/>
  <c r="AE131" i="4" s="1"/>
  <c r="S131" i="4"/>
  <c r="AG131" i="4" s="1"/>
  <c r="W134" i="4"/>
  <c r="V135" i="4"/>
  <c r="O133" i="4"/>
  <c r="P132" i="4"/>
  <c r="U132" i="4" s="1"/>
  <c r="AI132" i="4" s="1"/>
  <c r="R132" i="4" l="1"/>
  <c r="AF132" i="4" s="1"/>
  <c r="Q132" i="4"/>
  <c r="AE132" i="4" s="1"/>
  <c r="T132" i="4"/>
  <c r="AH132" i="4" s="1"/>
  <c r="S132" i="4"/>
  <c r="AG132" i="4" s="1"/>
  <c r="O134" i="4"/>
  <c r="P133" i="4"/>
  <c r="U133" i="4" s="1"/>
  <c r="AI133" i="4" s="1"/>
  <c r="W135" i="4"/>
  <c r="V136" i="4"/>
  <c r="T133" i="4" l="1"/>
  <c r="AH133" i="4" s="1"/>
  <c r="S133" i="4"/>
  <c r="AG133" i="4" s="1"/>
  <c r="R133" i="4"/>
  <c r="AF133" i="4" s="1"/>
  <c r="Q133" i="4"/>
  <c r="AE133" i="4" s="1"/>
  <c r="W136" i="4"/>
  <c r="V137" i="4"/>
  <c r="O135" i="4"/>
  <c r="P134" i="4"/>
  <c r="U134" i="4" s="1"/>
  <c r="AI134" i="4" s="1"/>
  <c r="S134" i="4" l="1"/>
  <c r="AG134" i="4" s="1"/>
  <c r="R134" i="4"/>
  <c r="AF134" i="4" s="1"/>
  <c r="Q134" i="4"/>
  <c r="AE134" i="4" s="1"/>
  <c r="T134" i="4"/>
  <c r="AH134" i="4" s="1"/>
  <c r="P135" i="4"/>
  <c r="U135" i="4" s="1"/>
  <c r="AI135" i="4" s="1"/>
  <c r="O136" i="4"/>
  <c r="W137" i="4"/>
  <c r="V138" i="4"/>
  <c r="S135" i="4" l="1"/>
  <c r="AG135" i="4" s="1"/>
  <c r="R135" i="4"/>
  <c r="AF135" i="4" s="1"/>
  <c r="Q135" i="4"/>
  <c r="AE135" i="4" s="1"/>
  <c r="T135" i="4"/>
  <c r="AH135" i="4" s="1"/>
  <c r="W138" i="4"/>
  <c r="V139" i="4"/>
  <c r="O137" i="4"/>
  <c r="P136" i="4"/>
  <c r="U136" i="4" s="1"/>
  <c r="AI136" i="4" s="1"/>
  <c r="T136" i="4" l="1"/>
  <c r="AH136" i="4" s="1"/>
  <c r="S136" i="4"/>
  <c r="AG136" i="4" s="1"/>
  <c r="Q136" i="4"/>
  <c r="AE136" i="4" s="1"/>
  <c r="R136" i="4"/>
  <c r="AF136" i="4" s="1"/>
  <c r="P137" i="4"/>
  <c r="U137" i="4" s="1"/>
  <c r="AI137" i="4" s="1"/>
  <c r="O138" i="4"/>
  <c r="W139" i="4"/>
  <c r="V140" i="4"/>
  <c r="Q137" i="4" l="1"/>
  <c r="AE137" i="4" s="1"/>
  <c r="T137" i="4"/>
  <c r="AH137" i="4" s="1"/>
  <c r="S137" i="4"/>
  <c r="AG137" i="4" s="1"/>
  <c r="R137" i="4"/>
  <c r="AF137" i="4" s="1"/>
  <c r="W140" i="4"/>
  <c r="V141" i="4"/>
  <c r="O139" i="4"/>
  <c r="P138" i="4"/>
  <c r="U138" i="4" s="1"/>
  <c r="AI138" i="4" s="1"/>
  <c r="T138" i="4" l="1"/>
  <c r="AH138" i="4" s="1"/>
  <c r="S138" i="4"/>
  <c r="AG138" i="4" s="1"/>
  <c r="R138" i="4"/>
  <c r="AF138" i="4" s="1"/>
  <c r="Q138" i="4"/>
  <c r="AE138" i="4" s="1"/>
  <c r="P139" i="4"/>
  <c r="U139" i="4" s="1"/>
  <c r="AI139" i="4" s="1"/>
  <c r="O140" i="4"/>
  <c r="W141" i="4"/>
  <c r="V142" i="4"/>
  <c r="T139" i="4" l="1"/>
  <c r="AH139" i="4" s="1"/>
  <c r="R139" i="4"/>
  <c r="AF139" i="4" s="1"/>
  <c r="Q139" i="4"/>
  <c r="AE139" i="4" s="1"/>
  <c r="S139" i="4"/>
  <c r="AG139" i="4" s="1"/>
  <c r="W142" i="4"/>
  <c r="V143" i="4"/>
  <c r="O141" i="4"/>
  <c r="P140" i="4"/>
  <c r="U140" i="4" s="1"/>
  <c r="AI140" i="4" s="1"/>
  <c r="R140" i="4" l="1"/>
  <c r="AF140" i="4" s="1"/>
  <c r="Q140" i="4"/>
  <c r="AE140" i="4" s="1"/>
  <c r="T140" i="4"/>
  <c r="AH140" i="4" s="1"/>
  <c r="S140" i="4"/>
  <c r="AG140" i="4" s="1"/>
  <c r="O142" i="4"/>
  <c r="P141" i="4"/>
  <c r="U141" i="4" s="1"/>
  <c r="AI141" i="4" s="1"/>
  <c r="W143" i="4"/>
  <c r="V144" i="4"/>
  <c r="T141" i="4" l="1"/>
  <c r="AH141" i="4" s="1"/>
  <c r="S141" i="4"/>
  <c r="AG141" i="4" s="1"/>
  <c r="R141" i="4"/>
  <c r="AF141" i="4" s="1"/>
  <c r="Q141" i="4"/>
  <c r="AE141" i="4" s="1"/>
  <c r="W144" i="4"/>
  <c r="V145" i="4"/>
  <c r="O143" i="4"/>
  <c r="P142" i="4"/>
  <c r="U142" i="4" s="1"/>
  <c r="AI142" i="4" s="1"/>
  <c r="S142" i="4" l="1"/>
  <c r="AG142" i="4" s="1"/>
  <c r="R142" i="4"/>
  <c r="AF142" i="4" s="1"/>
  <c r="Q142" i="4"/>
  <c r="AE142" i="4" s="1"/>
  <c r="T142" i="4"/>
  <c r="AH142" i="4" s="1"/>
  <c r="P143" i="4"/>
  <c r="U143" i="4" s="1"/>
  <c r="AI143" i="4" s="1"/>
  <c r="O144" i="4"/>
  <c r="W145" i="4"/>
  <c r="V146" i="4"/>
  <c r="S143" i="4" l="1"/>
  <c r="AG143" i="4" s="1"/>
  <c r="R143" i="4"/>
  <c r="AF143" i="4" s="1"/>
  <c r="Q143" i="4"/>
  <c r="AE143" i="4" s="1"/>
  <c r="T143" i="4"/>
  <c r="AH143" i="4" s="1"/>
  <c r="W146" i="4"/>
  <c r="V147" i="4"/>
  <c r="O145" i="4"/>
  <c r="P144" i="4"/>
  <c r="U144" i="4" s="1"/>
  <c r="AI144" i="4" s="1"/>
  <c r="T144" i="4" l="1"/>
  <c r="AH144" i="4" s="1"/>
  <c r="S144" i="4"/>
  <c r="AG144" i="4" s="1"/>
  <c r="Q144" i="4"/>
  <c r="AE144" i="4" s="1"/>
  <c r="R144" i="4"/>
  <c r="AF144" i="4" s="1"/>
  <c r="P145" i="4"/>
  <c r="O146" i="4"/>
  <c r="W147" i="4"/>
  <c r="V148" i="4"/>
  <c r="T145" i="4" l="1"/>
  <c r="AH145" i="4" s="1"/>
  <c r="U145" i="4"/>
  <c r="AI145" i="4" s="1"/>
  <c r="S145" i="4"/>
  <c r="AG145" i="4" s="1"/>
  <c r="R145" i="4"/>
  <c r="AF145" i="4" s="1"/>
  <c r="Q145" i="4"/>
  <c r="AE145" i="4" s="1"/>
  <c r="W148" i="4"/>
  <c r="V149" i="4"/>
  <c r="O147" i="4"/>
  <c r="P146" i="4"/>
  <c r="S146" i="4" l="1"/>
  <c r="AG146" i="4" s="1"/>
  <c r="AG147" i="4" s="1"/>
  <c r="AG148" i="4" s="1"/>
  <c r="AG149" i="4" s="1"/>
  <c r="U146" i="4"/>
  <c r="AI146" i="4" s="1"/>
  <c r="AI147" i="4" s="1"/>
  <c r="AI148" i="4" s="1"/>
  <c r="AI149" i="4" s="1"/>
  <c r="T146" i="4"/>
  <c r="AH146" i="4" s="1"/>
  <c r="AH147" i="4" s="1"/>
  <c r="AH148" i="4" s="1"/>
  <c r="AH149" i="4" s="1"/>
  <c r="R146" i="4"/>
  <c r="AF146" i="4" s="1"/>
  <c r="AF147" i="4" s="1"/>
  <c r="AF148" i="4" s="1"/>
  <c r="AF149" i="4" s="1"/>
  <c r="Q146" i="4"/>
  <c r="AE146" i="4" s="1"/>
  <c r="AE147" i="4" s="1"/>
  <c r="AE148" i="4" s="1"/>
  <c r="AE149" i="4" s="1"/>
  <c r="P147" i="4"/>
  <c r="O148" i="4"/>
  <c r="W149" i="4"/>
  <c r="V150" i="4"/>
  <c r="O149" i="4" l="1"/>
  <c r="P148" i="4"/>
  <c r="W150" i="4"/>
  <c r="V151" i="4"/>
  <c r="W151" i="4" l="1"/>
  <c r="V152" i="4"/>
  <c r="O150" i="4"/>
  <c r="P149" i="4"/>
  <c r="W152" i="4" l="1"/>
  <c r="V153" i="4"/>
  <c r="O151" i="4"/>
  <c r="P150" i="4"/>
  <c r="U150" i="4" l="1"/>
  <c r="AI150" i="4" s="1"/>
  <c r="S150" i="4"/>
  <c r="AG150" i="4" s="1"/>
  <c r="T150" i="4"/>
  <c r="AH150" i="4" s="1"/>
  <c r="Q150" i="4"/>
  <c r="AE150" i="4" s="1"/>
  <c r="R150" i="4"/>
  <c r="AF150" i="4" s="1"/>
  <c r="W153" i="4"/>
  <c r="V154" i="4"/>
  <c r="P151" i="4"/>
  <c r="U151" i="4" s="1"/>
  <c r="O152" i="4"/>
  <c r="AI151" i="4" l="1"/>
  <c r="AI152" i="4" s="1"/>
  <c r="AI153" i="4" s="1"/>
  <c r="AI154" i="4" s="1"/>
  <c r="T151" i="4"/>
  <c r="AH151" i="4" s="1"/>
  <c r="AH152" i="4" s="1"/>
  <c r="AH153" i="4" s="1"/>
  <c r="AH154" i="4" s="1"/>
  <c r="R151" i="4"/>
  <c r="AF151" i="4" s="1"/>
  <c r="AF152" i="4" s="1"/>
  <c r="AF153" i="4" s="1"/>
  <c r="AF154" i="4" s="1"/>
  <c r="Q151" i="4"/>
  <c r="AE151" i="4" s="1"/>
  <c r="AE152" i="4" s="1"/>
  <c r="AE153" i="4" s="1"/>
  <c r="AE154" i="4" s="1"/>
  <c r="S151" i="4"/>
  <c r="AG151" i="4" s="1"/>
  <c r="AG152" i="4" s="1"/>
  <c r="AG153" i="4" s="1"/>
  <c r="AG154" i="4" s="1"/>
  <c r="O153" i="4"/>
  <c r="P152" i="4"/>
  <c r="W154" i="4"/>
  <c r="V155" i="4"/>
  <c r="V156" i="4" l="1"/>
  <c r="W155" i="4"/>
  <c r="P153" i="4"/>
  <c r="O154" i="4"/>
  <c r="O155" i="4" l="1"/>
  <c r="P154" i="4"/>
  <c r="V157" i="4"/>
  <c r="W156" i="4"/>
  <c r="V158" i="4" l="1"/>
  <c r="W157" i="4"/>
  <c r="P155" i="4"/>
  <c r="U155" i="4" s="1"/>
  <c r="AI155" i="4" s="1"/>
  <c r="O156" i="4"/>
  <c r="S155" i="4" l="1"/>
  <c r="AG155" i="4" s="1"/>
  <c r="R155" i="4"/>
  <c r="AF155" i="4" s="1"/>
  <c r="Q155" i="4"/>
  <c r="AE155" i="4" s="1"/>
  <c r="T155" i="4"/>
  <c r="AH155" i="4" s="1"/>
  <c r="O157" i="4"/>
  <c r="P156" i="4"/>
  <c r="U156" i="4" s="1"/>
  <c r="AI156" i="4" s="1"/>
  <c r="V159" i="4"/>
  <c r="W158" i="4"/>
  <c r="T156" i="4" l="1"/>
  <c r="AH156" i="4" s="1"/>
  <c r="S156" i="4"/>
  <c r="AG156" i="4" s="1"/>
  <c r="Q156" i="4"/>
  <c r="AE156" i="4" s="1"/>
  <c r="R156" i="4"/>
  <c r="AF156" i="4" s="1"/>
  <c r="V160" i="4"/>
  <c r="W159" i="4"/>
  <c r="O158" i="4"/>
  <c r="P157" i="4"/>
  <c r="U157" i="4" s="1"/>
  <c r="AI157" i="4" s="1"/>
  <c r="Q157" i="4" l="1"/>
  <c r="AE157" i="4" s="1"/>
  <c r="T157" i="4"/>
  <c r="AH157" i="4" s="1"/>
  <c r="S157" i="4"/>
  <c r="AG157" i="4" s="1"/>
  <c r="R157" i="4"/>
  <c r="AF157" i="4" s="1"/>
  <c r="O159" i="4"/>
  <c r="P158" i="4"/>
  <c r="U158" i="4" s="1"/>
  <c r="AI158" i="4" s="1"/>
  <c r="W160" i="4"/>
  <c r="V161" i="4"/>
  <c r="T158" i="4" l="1"/>
  <c r="AH158" i="4" s="1"/>
  <c r="S158" i="4"/>
  <c r="AG158" i="4" s="1"/>
  <c r="R158" i="4"/>
  <c r="AF158" i="4" s="1"/>
  <c r="Q158" i="4"/>
  <c r="AE158" i="4" s="1"/>
  <c r="V162" i="4"/>
  <c r="W161" i="4"/>
  <c r="P159" i="4"/>
  <c r="U159" i="4" s="1"/>
  <c r="AI159" i="4" s="1"/>
  <c r="O160" i="4"/>
  <c r="T159" i="4" l="1"/>
  <c r="AH159" i="4" s="1"/>
  <c r="R159" i="4"/>
  <c r="AF159" i="4" s="1"/>
  <c r="Q159" i="4"/>
  <c r="AE159" i="4" s="1"/>
  <c r="S159" i="4"/>
  <c r="AG159" i="4" s="1"/>
  <c r="O161" i="4"/>
  <c r="P160" i="4"/>
  <c r="U160" i="4" s="1"/>
  <c r="AI160" i="4" s="1"/>
  <c r="V163" i="4"/>
  <c r="W162" i="4"/>
  <c r="R160" i="4" l="1"/>
  <c r="AF160" i="4" s="1"/>
  <c r="Q160" i="4"/>
  <c r="AE160" i="4" s="1"/>
  <c r="T160" i="4"/>
  <c r="AH160" i="4" s="1"/>
  <c r="S160" i="4"/>
  <c r="AG160" i="4" s="1"/>
  <c r="V164" i="4"/>
  <c r="W163" i="4"/>
  <c r="P161" i="4"/>
  <c r="U161" i="4" s="1"/>
  <c r="AI161" i="4" s="1"/>
  <c r="O162" i="4"/>
  <c r="T161" i="4" l="1"/>
  <c r="AH161" i="4" s="1"/>
  <c r="S161" i="4"/>
  <c r="AG161" i="4" s="1"/>
  <c r="R161" i="4"/>
  <c r="AF161" i="4" s="1"/>
  <c r="Q161" i="4"/>
  <c r="AE161" i="4" s="1"/>
  <c r="O163" i="4"/>
  <c r="P162" i="4"/>
  <c r="U162" i="4" s="1"/>
  <c r="AI162" i="4" s="1"/>
  <c r="V165" i="4"/>
  <c r="W164" i="4"/>
  <c r="S162" i="4" l="1"/>
  <c r="AG162" i="4" s="1"/>
  <c r="R162" i="4"/>
  <c r="AF162" i="4" s="1"/>
  <c r="Q162" i="4"/>
  <c r="AE162" i="4" s="1"/>
  <c r="T162" i="4"/>
  <c r="AH162" i="4" s="1"/>
  <c r="V166" i="4"/>
  <c r="W165" i="4"/>
  <c r="P163" i="4"/>
  <c r="U163" i="4" s="1"/>
  <c r="AI163" i="4" s="1"/>
  <c r="O164" i="4"/>
  <c r="S163" i="4" l="1"/>
  <c r="AG163" i="4" s="1"/>
  <c r="R163" i="4"/>
  <c r="AF163" i="4" s="1"/>
  <c r="Q163" i="4"/>
  <c r="AE163" i="4" s="1"/>
  <c r="T163" i="4"/>
  <c r="AH163" i="4" s="1"/>
  <c r="O165" i="4"/>
  <c r="P164" i="4"/>
  <c r="U164" i="4" s="1"/>
  <c r="AI164" i="4" s="1"/>
  <c r="V167" i="4"/>
  <c r="W166" i="4"/>
  <c r="T164" i="4" l="1"/>
  <c r="AH164" i="4" s="1"/>
  <c r="S164" i="4"/>
  <c r="AG164" i="4" s="1"/>
  <c r="Q164" i="4"/>
  <c r="AE164" i="4" s="1"/>
  <c r="R164" i="4"/>
  <c r="AF164" i="4" s="1"/>
  <c r="V168" i="4"/>
  <c r="W167" i="4"/>
  <c r="O166" i="4"/>
  <c r="P165" i="4"/>
  <c r="U165" i="4" s="1"/>
  <c r="AI165" i="4" s="1"/>
  <c r="Q165" i="4" l="1"/>
  <c r="AE165" i="4" s="1"/>
  <c r="T165" i="4"/>
  <c r="AH165" i="4" s="1"/>
  <c r="S165" i="4"/>
  <c r="AG165" i="4" s="1"/>
  <c r="R165" i="4"/>
  <c r="AF165" i="4" s="1"/>
  <c r="P166" i="4"/>
  <c r="U166" i="4" s="1"/>
  <c r="AI166" i="4" s="1"/>
  <c r="O167" i="4"/>
  <c r="V169" i="4"/>
  <c r="W168" i="4"/>
  <c r="T166" i="4" l="1"/>
  <c r="AH166" i="4" s="1"/>
  <c r="S166" i="4"/>
  <c r="AG166" i="4" s="1"/>
  <c r="R166" i="4"/>
  <c r="AF166" i="4" s="1"/>
  <c r="Q166" i="4"/>
  <c r="AE166" i="4" s="1"/>
  <c r="W169" i="4"/>
  <c r="V170" i="4"/>
  <c r="O168" i="4"/>
  <c r="P167" i="4"/>
  <c r="U167" i="4" s="1"/>
  <c r="AI167" i="4" s="1"/>
  <c r="T167" i="4" l="1"/>
  <c r="AH167" i="4" s="1"/>
  <c r="R167" i="4"/>
  <c r="AF167" i="4" s="1"/>
  <c r="Q167" i="4"/>
  <c r="AE167" i="4" s="1"/>
  <c r="S167" i="4"/>
  <c r="AG167" i="4" s="1"/>
  <c r="P168" i="4"/>
  <c r="U168" i="4" s="1"/>
  <c r="AI168" i="4" s="1"/>
  <c r="O169" i="4"/>
  <c r="V171" i="4"/>
  <c r="W170" i="4"/>
  <c r="R168" i="4" l="1"/>
  <c r="AF168" i="4" s="1"/>
  <c r="Q168" i="4"/>
  <c r="AE168" i="4" s="1"/>
  <c r="T168" i="4"/>
  <c r="AH168" i="4" s="1"/>
  <c r="S168" i="4"/>
  <c r="AG168" i="4" s="1"/>
  <c r="V172" i="4"/>
  <c r="W171" i="4"/>
  <c r="O170" i="4"/>
  <c r="P169" i="4"/>
  <c r="U169" i="4" s="1"/>
  <c r="AI169" i="4" s="1"/>
  <c r="T169" i="4" l="1"/>
  <c r="AH169" i="4" s="1"/>
  <c r="S169" i="4"/>
  <c r="AG169" i="4" s="1"/>
  <c r="R169" i="4"/>
  <c r="AF169" i="4" s="1"/>
  <c r="Q169" i="4"/>
  <c r="AE169" i="4" s="1"/>
  <c r="P170" i="4"/>
  <c r="U170" i="4" s="1"/>
  <c r="AI170" i="4" s="1"/>
  <c r="O171" i="4"/>
  <c r="V173" i="4"/>
  <c r="W172" i="4"/>
  <c r="S170" i="4" l="1"/>
  <c r="AG170" i="4" s="1"/>
  <c r="R170" i="4"/>
  <c r="AF170" i="4" s="1"/>
  <c r="Q170" i="4"/>
  <c r="AE170" i="4" s="1"/>
  <c r="T170" i="4"/>
  <c r="AH170" i="4" s="1"/>
  <c r="V174" i="4"/>
  <c r="W173" i="4"/>
  <c r="O172" i="4"/>
  <c r="P171" i="4"/>
  <c r="U171" i="4" s="1"/>
  <c r="AI171" i="4" s="1"/>
  <c r="S171" i="4" l="1"/>
  <c r="AG171" i="4" s="1"/>
  <c r="R171" i="4"/>
  <c r="AF171" i="4" s="1"/>
  <c r="Q171" i="4"/>
  <c r="AE171" i="4" s="1"/>
  <c r="T171" i="4"/>
  <c r="AH171" i="4" s="1"/>
  <c r="P172" i="4"/>
  <c r="U172" i="4" s="1"/>
  <c r="AI172" i="4" s="1"/>
  <c r="O173" i="4"/>
  <c r="V175" i="4"/>
  <c r="W174" i="4"/>
  <c r="T172" i="4" l="1"/>
  <c r="AH172" i="4" s="1"/>
  <c r="S172" i="4"/>
  <c r="AG172" i="4" s="1"/>
  <c r="Q172" i="4"/>
  <c r="AE172" i="4" s="1"/>
  <c r="R172" i="4"/>
  <c r="AF172" i="4" s="1"/>
  <c r="V176" i="4"/>
  <c r="W175" i="4"/>
  <c r="O174" i="4"/>
  <c r="P173" i="4"/>
  <c r="S173" i="4" l="1"/>
  <c r="AG173" i="4" s="1"/>
  <c r="U173" i="4"/>
  <c r="AI173" i="4" s="1"/>
  <c r="R173" i="4"/>
  <c r="AF173" i="4" s="1"/>
  <c r="T173" i="4"/>
  <c r="AH173" i="4" s="1"/>
  <c r="Q173" i="4"/>
  <c r="AE173" i="4" s="1"/>
  <c r="P174" i="4"/>
  <c r="O175" i="4"/>
  <c r="V177" i="4"/>
  <c r="W176" i="4"/>
  <c r="U174" i="4" l="1"/>
  <c r="AI174" i="4" s="1"/>
  <c r="R174" i="4"/>
  <c r="AF174" i="4" s="1"/>
  <c r="S174" i="4"/>
  <c r="AG174" i="4" s="1"/>
  <c r="T174" i="4"/>
  <c r="AH174" i="4" s="1"/>
  <c r="Q174" i="4"/>
  <c r="AE174" i="4" s="1"/>
  <c r="V178" i="4"/>
  <c r="W177" i="4"/>
  <c r="O176" i="4"/>
  <c r="P175" i="4"/>
  <c r="U175" i="4" l="1"/>
  <c r="AI175" i="4" s="1"/>
  <c r="R175" i="4"/>
  <c r="AF175" i="4" s="1"/>
  <c r="S175" i="4"/>
  <c r="AG175" i="4" s="1"/>
  <c r="T175" i="4"/>
  <c r="AH175" i="4" s="1"/>
  <c r="Q175" i="4"/>
  <c r="AE175" i="4" s="1"/>
  <c r="P176" i="4"/>
  <c r="O177" i="4"/>
  <c r="V179" i="4"/>
  <c r="W178" i="4"/>
  <c r="R176" i="4" l="1"/>
  <c r="AF176" i="4" s="1"/>
  <c r="AF177" i="4" s="1"/>
  <c r="AF178" i="4" s="1"/>
  <c r="AF179" i="4" s="1"/>
  <c r="AF180" i="4" s="1"/>
  <c r="AF181" i="4" s="1"/>
  <c r="AF182" i="4" s="1"/>
  <c r="AF183" i="4" s="1"/>
  <c r="AF184" i="4" s="1"/>
  <c r="AF185" i="4" s="1"/>
  <c r="AF186" i="4" s="1"/>
  <c r="AF187" i="4" s="1"/>
  <c r="AF188" i="4" s="1"/>
  <c r="AF189" i="4" s="1"/>
  <c r="S176" i="4"/>
  <c r="AG176" i="4" s="1"/>
  <c r="AG177" i="4" s="1"/>
  <c r="AG178" i="4" s="1"/>
  <c r="AG179" i="4" s="1"/>
  <c r="AG180" i="4" s="1"/>
  <c r="AG181" i="4" s="1"/>
  <c r="AG182" i="4" s="1"/>
  <c r="AG183" i="4" s="1"/>
  <c r="AG184" i="4" s="1"/>
  <c r="AG185" i="4" s="1"/>
  <c r="AG186" i="4" s="1"/>
  <c r="AG187" i="4" s="1"/>
  <c r="AG188" i="4" s="1"/>
  <c r="AG189" i="4" s="1"/>
  <c r="T176" i="4"/>
  <c r="AH176" i="4" s="1"/>
  <c r="AH177" i="4" s="1"/>
  <c r="AH178" i="4" s="1"/>
  <c r="AH179" i="4" s="1"/>
  <c r="AH180" i="4" s="1"/>
  <c r="AH181" i="4" s="1"/>
  <c r="AH182" i="4" s="1"/>
  <c r="AH183" i="4" s="1"/>
  <c r="AH184" i="4" s="1"/>
  <c r="AH185" i="4" s="1"/>
  <c r="AH186" i="4" s="1"/>
  <c r="AH187" i="4" s="1"/>
  <c r="AH188" i="4" s="1"/>
  <c r="AH189" i="4" s="1"/>
  <c r="U176" i="4"/>
  <c r="AI176" i="4" s="1"/>
  <c r="AI177" i="4" s="1"/>
  <c r="AI178" i="4" s="1"/>
  <c r="AI179" i="4" s="1"/>
  <c r="AI180" i="4" s="1"/>
  <c r="AI181" i="4" s="1"/>
  <c r="AI182" i="4" s="1"/>
  <c r="AI183" i="4" s="1"/>
  <c r="AI184" i="4" s="1"/>
  <c r="AI185" i="4" s="1"/>
  <c r="AI186" i="4" s="1"/>
  <c r="AI187" i="4" s="1"/>
  <c r="AI188" i="4" s="1"/>
  <c r="AI189" i="4" s="1"/>
  <c r="Q176" i="4"/>
  <c r="AE176" i="4" s="1"/>
  <c r="AE177" i="4" s="1"/>
  <c r="AE178" i="4" s="1"/>
  <c r="AE179" i="4" s="1"/>
  <c r="AE180" i="4" s="1"/>
  <c r="AE181" i="4" s="1"/>
  <c r="AE182" i="4" s="1"/>
  <c r="AE183" i="4" s="1"/>
  <c r="AE184" i="4" s="1"/>
  <c r="AE185" i="4" s="1"/>
  <c r="AE186" i="4" s="1"/>
  <c r="AE187" i="4" s="1"/>
  <c r="AE188" i="4" s="1"/>
  <c r="AE189" i="4" s="1"/>
  <c r="V180" i="4"/>
  <c r="W179" i="4"/>
  <c r="O178" i="4"/>
  <c r="P177" i="4"/>
  <c r="P178" i="4" l="1"/>
  <c r="O179" i="4"/>
  <c r="V181" i="4"/>
  <c r="W180" i="4"/>
  <c r="V182" i="4" l="1"/>
  <c r="W181" i="4"/>
  <c r="O180" i="4"/>
  <c r="P179" i="4"/>
  <c r="P180" i="4" l="1"/>
  <c r="O181" i="4"/>
  <c r="V183" i="4"/>
  <c r="W182" i="4"/>
  <c r="V184" i="4" l="1"/>
  <c r="W183" i="4"/>
  <c r="O182" i="4"/>
  <c r="P181" i="4"/>
  <c r="P182" i="4" l="1"/>
  <c r="O183" i="4"/>
  <c r="V185" i="4"/>
  <c r="W184" i="4"/>
  <c r="V186" i="4" l="1"/>
  <c r="W185" i="4"/>
  <c r="O184" i="4"/>
  <c r="P183" i="4"/>
  <c r="P184" i="4" l="1"/>
  <c r="O185" i="4"/>
  <c r="V187" i="4"/>
  <c r="W186" i="4"/>
  <c r="V188" i="4" l="1"/>
  <c r="W187" i="4"/>
  <c r="O186" i="4"/>
  <c r="P185" i="4"/>
  <c r="P186" i="4" l="1"/>
  <c r="O187" i="4"/>
  <c r="V189" i="4"/>
  <c r="W188" i="4"/>
  <c r="V190" i="4" l="1"/>
  <c r="W189" i="4"/>
  <c r="O188" i="4"/>
  <c r="P187" i="4"/>
  <c r="P188" i="4" l="1"/>
  <c r="O189" i="4"/>
  <c r="V191" i="4"/>
  <c r="W190" i="4"/>
  <c r="V192" i="4" l="1"/>
  <c r="W191" i="4"/>
  <c r="O190" i="4"/>
  <c r="P189" i="4"/>
  <c r="P190" i="4" l="1"/>
  <c r="U190" i="4" s="1"/>
  <c r="AI190" i="4" s="1"/>
  <c r="O191" i="4"/>
  <c r="V193" i="4"/>
  <c r="W192" i="4"/>
  <c r="T190" i="4" l="1"/>
  <c r="AH190" i="4" s="1"/>
  <c r="S190" i="4"/>
  <c r="AG190" i="4" s="1"/>
  <c r="Q190" i="4"/>
  <c r="AE190" i="4" s="1"/>
  <c r="R190" i="4"/>
  <c r="AF190" i="4" s="1"/>
  <c r="V194" i="4"/>
  <c r="W193" i="4"/>
  <c r="O192" i="4"/>
  <c r="P191" i="4"/>
  <c r="U191" i="4" s="1"/>
  <c r="AI191" i="4" s="1"/>
  <c r="Q191" i="4" l="1"/>
  <c r="AE191" i="4" s="1"/>
  <c r="T191" i="4"/>
  <c r="AH191" i="4" s="1"/>
  <c r="S191" i="4"/>
  <c r="AG191" i="4" s="1"/>
  <c r="R191" i="4"/>
  <c r="AF191" i="4" s="1"/>
  <c r="P192" i="4"/>
  <c r="U192" i="4" s="1"/>
  <c r="AI192" i="4" s="1"/>
  <c r="O193" i="4"/>
  <c r="V195" i="4"/>
  <c r="W194" i="4"/>
  <c r="T192" i="4" l="1"/>
  <c r="AH192" i="4" s="1"/>
  <c r="S192" i="4"/>
  <c r="AG192" i="4" s="1"/>
  <c r="R192" i="4"/>
  <c r="AF192" i="4" s="1"/>
  <c r="Q192" i="4"/>
  <c r="AE192" i="4" s="1"/>
  <c r="V196" i="4"/>
  <c r="W195" i="4"/>
  <c r="O194" i="4"/>
  <c r="P193" i="4"/>
  <c r="U193" i="4" s="1"/>
  <c r="AI193" i="4" s="1"/>
  <c r="T193" i="4" l="1"/>
  <c r="AH193" i="4" s="1"/>
  <c r="R193" i="4"/>
  <c r="AF193" i="4" s="1"/>
  <c r="Q193" i="4"/>
  <c r="AE193" i="4" s="1"/>
  <c r="S193" i="4"/>
  <c r="AG193" i="4" s="1"/>
  <c r="P194" i="4"/>
  <c r="U194" i="4" s="1"/>
  <c r="AI194" i="4" s="1"/>
  <c r="O195" i="4"/>
  <c r="V197" i="4"/>
  <c r="W196" i="4"/>
  <c r="R194" i="4" l="1"/>
  <c r="AF194" i="4" s="1"/>
  <c r="Q194" i="4"/>
  <c r="AE194" i="4" s="1"/>
  <c r="T194" i="4"/>
  <c r="AH194" i="4" s="1"/>
  <c r="S194" i="4"/>
  <c r="AG194" i="4" s="1"/>
  <c r="V198" i="4"/>
  <c r="W197" i="4"/>
  <c r="O196" i="4"/>
  <c r="P195" i="4"/>
  <c r="U195" i="4" s="1"/>
  <c r="AI195" i="4" s="1"/>
  <c r="T195" i="4" l="1"/>
  <c r="AH195" i="4" s="1"/>
  <c r="S195" i="4"/>
  <c r="AG195" i="4" s="1"/>
  <c r="R195" i="4"/>
  <c r="AF195" i="4" s="1"/>
  <c r="Q195" i="4"/>
  <c r="AE195" i="4" s="1"/>
  <c r="P196" i="4"/>
  <c r="U196" i="4" s="1"/>
  <c r="AI196" i="4" s="1"/>
  <c r="O197" i="4"/>
  <c r="W198" i="4"/>
  <c r="V199" i="4"/>
  <c r="S196" i="4" l="1"/>
  <c r="AG196" i="4" s="1"/>
  <c r="R196" i="4"/>
  <c r="AF196" i="4" s="1"/>
  <c r="Q196" i="4"/>
  <c r="AE196" i="4" s="1"/>
  <c r="T196" i="4"/>
  <c r="AH196" i="4" s="1"/>
  <c r="V200" i="4"/>
  <c r="W199" i="4"/>
  <c r="O198" i="4"/>
  <c r="P197" i="4"/>
  <c r="U197" i="4" s="1"/>
  <c r="AI197" i="4" s="1"/>
  <c r="S197" i="4" l="1"/>
  <c r="AG197" i="4" s="1"/>
  <c r="R197" i="4"/>
  <c r="AF197" i="4" s="1"/>
  <c r="Q197" i="4"/>
  <c r="AE197" i="4" s="1"/>
  <c r="T197" i="4"/>
  <c r="AH197" i="4" s="1"/>
  <c r="P198" i="4"/>
  <c r="U198" i="4" s="1"/>
  <c r="AI198" i="4" s="1"/>
  <c r="O199" i="4"/>
  <c r="V201" i="4"/>
  <c r="W200" i="4"/>
  <c r="T198" i="4" l="1"/>
  <c r="AH198" i="4" s="1"/>
  <c r="S198" i="4"/>
  <c r="AG198" i="4" s="1"/>
  <c r="Q198" i="4"/>
  <c r="AE198" i="4" s="1"/>
  <c r="R198" i="4"/>
  <c r="AF198" i="4" s="1"/>
  <c r="V202" i="4"/>
  <c r="W201" i="4"/>
  <c r="O200" i="4"/>
  <c r="P199" i="4"/>
  <c r="U199" i="4" s="1"/>
  <c r="AI199" i="4" s="1"/>
  <c r="Q199" i="4" l="1"/>
  <c r="AE199" i="4" s="1"/>
  <c r="T199" i="4"/>
  <c r="AH199" i="4" s="1"/>
  <c r="S199" i="4"/>
  <c r="AG199" i="4" s="1"/>
  <c r="R199" i="4"/>
  <c r="AF199" i="4" s="1"/>
  <c r="P200" i="4"/>
  <c r="U200" i="4" s="1"/>
  <c r="AI200" i="4" s="1"/>
  <c r="AI201" i="4" s="1"/>
  <c r="AI202" i="4" s="1"/>
  <c r="O201" i="4"/>
  <c r="V203" i="4"/>
  <c r="W202" i="4"/>
  <c r="T200" i="4" l="1"/>
  <c r="AH200" i="4" s="1"/>
  <c r="AH201" i="4" s="1"/>
  <c r="AH202" i="4" s="1"/>
  <c r="S200" i="4"/>
  <c r="AG200" i="4" s="1"/>
  <c r="AG201" i="4" s="1"/>
  <c r="AG202" i="4" s="1"/>
  <c r="R200" i="4"/>
  <c r="AF200" i="4" s="1"/>
  <c r="AF201" i="4" s="1"/>
  <c r="Q200" i="4"/>
  <c r="AE200" i="4" s="1"/>
  <c r="AE201" i="4" s="1"/>
  <c r="AE202" i="4" s="1"/>
  <c r="V204" i="4"/>
  <c r="W203" i="4"/>
  <c r="O202" i="4"/>
  <c r="P201" i="4"/>
  <c r="P202" i="4" l="1"/>
  <c r="R202" i="4" s="1"/>
  <c r="AF202" i="4" s="1"/>
  <c r="O203" i="4"/>
  <c r="V205" i="4"/>
  <c r="W204" i="4"/>
  <c r="V206" i="4" l="1"/>
  <c r="W205" i="4"/>
  <c r="O204" i="4"/>
  <c r="P203" i="4"/>
  <c r="R203" i="4" l="1"/>
  <c r="AF203" i="4" s="1"/>
  <c r="Q203" i="4"/>
  <c r="AE203" i="4" s="1"/>
  <c r="U203" i="4"/>
  <c r="AI203" i="4" s="1"/>
  <c r="S203" i="4"/>
  <c r="AG203" i="4" s="1"/>
  <c r="T203" i="4"/>
  <c r="AH203" i="4" s="1"/>
  <c r="P204" i="4"/>
  <c r="U204" i="4" s="1"/>
  <c r="O205" i="4"/>
  <c r="V207" i="4"/>
  <c r="W206" i="4"/>
  <c r="AI204" i="4" l="1"/>
  <c r="R204" i="4"/>
  <c r="AF204" i="4" s="1"/>
  <c r="Q204" i="4"/>
  <c r="AE204" i="4" s="1"/>
  <c r="T204" i="4"/>
  <c r="AH204" i="4" s="1"/>
  <c r="S204" i="4"/>
  <c r="AG204" i="4" s="1"/>
  <c r="V208" i="4"/>
  <c r="W207" i="4"/>
  <c r="O206" i="4"/>
  <c r="P205" i="4"/>
  <c r="U205" i="4" s="1"/>
  <c r="AI205" i="4" l="1"/>
  <c r="AI206" i="4" s="1"/>
  <c r="AI207" i="4" s="1"/>
  <c r="T205" i="4"/>
  <c r="AH205" i="4" s="1"/>
  <c r="AH206" i="4" s="1"/>
  <c r="AH207" i="4" s="1"/>
  <c r="S205" i="4"/>
  <c r="AG205" i="4" s="1"/>
  <c r="AG206" i="4" s="1"/>
  <c r="AG207" i="4" s="1"/>
  <c r="R205" i="4"/>
  <c r="AF205" i="4" s="1"/>
  <c r="AF206" i="4" s="1"/>
  <c r="AF207" i="4" s="1"/>
  <c r="Q205" i="4"/>
  <c r="AE205" i="4" s="1"/>
  <c r="AE206" i="4" s="1"/>
  <c r="AE207" i="4" s="1"/>
  <c r="P206" i="4"/>
  <c r="O207" i="4"/>
  <c r="V209" i="4"/>
  <c r="W208" i="4"/>
  <c r="V210" i="4" l="1"/>
  <c r="W209" i="4"/>
  <c r="O208" i="4"/>
  <c r="P207" i="4"/>
  <c r="P208" i="4" l="1"/>
  <c r="U208" i="4" s="1"/>
  <c r="AI208" i="4" s="1"/>
  <c r="O209" i="4"/>
  <c r="V211" i="4"/>
  <c r="W210" i="4"/>
  <c r="T208" i="4" l="1"/>
  <c r="AH208" i="4" s="1"/>
  <c r="S208" i="4"/>
  <c r="AG208" i="4" s="1"/>
  <c r="Q208" i="4"/>
  <c r="AE208" i="4" s="1"/>
  <c r="R208" i="4"/>
  <c r="AF208" i="4" s="1"/>
  <c r="V212" i="4"/>
  <c r="W211" i="4"/>
  <c r="P209" i="4"/>
  <c r="U209" i="4" s="1"/>
  <c r="AI209" i="4" s="1"/>
  <c r="O210" i="4"/>
  <c r="Q209" i="4" l="1"/>
  <c r="AE209" i="4" s="1"/>
  <c r="T209" i="4"/>
  <c r="AH209" i="4" s="1"/>
  <c r="S209" i="4"/>
  <c r="AG209" i="4" s="1"/>
  <c r="R209" i="4"/>
  <c r="AF209" i="4" s="1"/>
  <c r="P210" i="4"/>
  <c r="U210" i="4" s="1"/>
  <c r="AI210" i="4" s="1"/>
  <c r="O211" i="4"/>
  <c r="V213" i="4"/>
  <c r="W212" i="4"/>
  <c r="T210" i="4" l="1"/>
  <c r="AH210" i="4" s="1"/>
  <c r="S210" i="4"/>
  <c r="AG210" i="4" s="1"/>
  <c r="R210" i="4"/>
  <c r="AF210" i="4" s="1"/>
  <c r="Q210" i="4"/>
  <c r="AE210" i="4" s="1"/>
  <c r="P211" i="4"/>
  <c r="U211" i="4" s="1"/>
  <c r="AI211" i="4" s="1"/>
  <c r="O212" i="4"/>
  <c r="V214" i="4"/>
  <c r="W213" i="4"/>
  <c r="T211" i="4" l="1"/>
  <c r="AH211" i="4" s="1"/>
  <c r="R211" i="4"/>
  <c r="AF211" i="4" s="1"/>
  <c r="Q211" i="4"/>
  <c r="AE211" i="4" s="1"/>
  <c r="S211" i="4"/>
  <c r="AG211" i="4" s="1"/>
  <c r="P212" i="4"/>
  <c r="U212" i="4" s="1"/>
  <c r="AI212" i="4" s="1"/>
  <c r="O213" i="4"/>
  <c r="V215" i="4"/>
  <c r="W214" i="4"/>
  <c r="R212" i="4" l="1"/>
  <c r="AF212" i="4" s="1"/>
  <c r="Q212" i="4"/>
  <c r="AE212" i="4" s="1"/>
  <c r="T212" i="4"/>
  <c r="AH212" i="4" s="1"/>
  <c r="S212" i="4"/>
  <c r="AG212" i="4" s="1"/>
  <c r="V216" i="4"/>
  <c r="W215" i="4"/>
  <c r="P213" i="4"/>
  <c r="U213" i="4" s="1"/>
  <c r="AI213" i="4" s="1"/>
  <c r="O214" i="4"/>
  <c r="T213" i="4" l="1"/>
  <c r="AH213" i="4" s="1"/>
  <c r="S213" i="4"/>
  <c r="AG213" i="4" s="1"/>
  <c r="R213" i="4"/>
  <c r="AF213" i="4" s="1"/>
  <c r="Q213" i="4"/>
  <c r="AE213" i="4" s="1"/>
  <c r="P214" i="4"/>
  <c r="U214" i="4" s="1"/>
  <c r="AI214" i="4" s="1"/>
  <c r="O215" i="4"/>
  <c r="V217" i="4"/>
  <c r="W216" i="4"/>
  <c r="S214" i="4" l="1"/>
  <c r="AG214" i="4" s="1"/>
  <c r="R214" i="4"/>
  <c r="AF214" i="4" s="1"/>
  <c r="Q214" i="4"/>
  <c r="AE214" i="4" s="1"/>
  <c r="T214" i="4"/>
  <c r="AH214" i="4" s="1"/>
  <c r="V218" i="4"/>
  <c r="W217" i="4"/>
  <c r="P215" i="4"/>
  <c r="U215" i="4" s="1"/>
  <c r="AI215" i="4" s="1"/>
  <c r="O216" i="4"/>
  <c r="S215" i="4" l="1"/>
  <c r="AG215" i="4" s="1"/>
  <c r="R215" i="4"/>
  <c r="AF215" i="4" s="1"/>
  <c r="Q215" i="4"/>
  <c r="AE215" i="4" s="1"/>
  <c r="T215" i="4"/>
  <c r="AH215" i="4" s="1"/>
  <c r="P216" i="4"/>
  <c r="U216" i="4" s="1"/>
  <c r="AI216" i="4" s="1"/>
  <c r="O217" i="4"/>
  <c r="V219" i="4"/>
  <c r="W218" i="4"/>
  <c r="T216" i="4" l="1"/>
  <c r="AH216" i="4" s="1"/>
  <c r="S216" i="4"/>
  <c r="AG216" i="4" s="1"/>
  <c r="Q216" i="4"/>
  <c r="AE216" i="4" s="1"/>
  <c r="R216" i="4"/>
  <c r="AF216" i="4" s="1"/>
  <c r="V220" i="4"/>
  <c r="W219" i="4"/>
  <c r="P217" i="4"/>
  <c r="U217" i="4" s="1"/>
  <c r="AI217" i="4" s="1"/>
  <c r="O218" i="4"/>
  <c r="Q217" i="4" l="1"/>
  <c r="AE217" i="4" s="1"/>
  <c r="T217" i="4"/>
  <c r="AH217" i="4" s="1"/>
  <c r="S217" i="4"/>
  <c r="AG217" i="4" s="1"/>
  <c r="R217" i="4"/>
  <c r="AF217" i="4" s="1"/>
  <c r="P218" i="4"/>
  <c r="U218" i="4" s="1"/>
  <c r="AI218" i="4" s="1"/>
  <c r="O219" i="4"/>
  <c r="V221" i="4"/>
  <c r="W220" i="4"/>
  <c r="T218" i="4" l="1"/>
  <c r="AH218" i="4" s="1"/>
  <c r="S218" i="4"/>
  <c r="AG218" i="4" s="1"/>
  <c r="R218" i="4"/>
  <c r="AF218" i="4" s="1"/>
  <c r="Q218" i="4"/>
  <c r="AE218" i="4" s="1"/>
  <c r="V222" i="4"/>
  <c r="W221" i="4"/>
  <c r="P219" i="4"/>
  <c r="U219" i="4" s="1"/>
  <c r="AI219" i="4" s="1"/>
  <c r="O220" i="4"/>
  <c r="T219" i="4" l="1"/>
  <c r="AH219" i="4" s="1"/>
  <c r="R219" i="4"/>
  <c r="AF219" i="4" s="1"/>
  <c r="Q219" i="4"/>
  <c r="AE219" i="4" s="1"/>
  <c r="S219" i="4"/>
  <c r="AG219" i="4" s="1"/>
  <c r="V223" i="4"/>
  <c r="W222" i="4"/>
  <c r="P220" i="4"/>
  <c r="U220" i="4" s="1"/>
  <c r="AI220" i="4" s="1"/>
  <c r="O221" i="4"/>
  <c r="T220" i="4" l="1"/>
  <c r="AH220" i="4" s="1"/>
  <c r="S220" i="4"/>
  <c r="AG220" i="4" s="1"/>
  <c r="R220" i="4"/>
  <c r="AF220" i="4" s="1"/>
  <c r="Q220" i="4"/>
  <c r="AE220" i="4" s="1"/>
  <c r="P221" i="4"/>
  <c r="U221" i="4" s="1"/>
  <c r="AI221" i="4" s="1"/>
  <c r="O222" i="4"/>
  <c r="V224" i="4"/>
  <c r="W223" i="4"/>
  <c r="R221" i="4" l="1"/>
  <c r="AF221" i="4" s="1"/>
  <c r="Q221" i="4"/>
  <c r="AE221" i="4" s="1"/>
  <c r="T221" i="4"/>
  <c r="AH221" i="4" s="1"/>
  <c r="S221" i="4"/>
  <c r="AG221" i="4" s="1"/>
  <c r="V225" i="4"/>
  <c r="W224" i="4"/>
  <c r="P222" i="4"/>
  <c r="U222" i="4" s="1"/>
  <c r="AI222" i="4" s="1"/>
  <c r="O223" i="4"/>
  <c r="T222" i="4" l="1"/>
  <c r="AH222" i="4" s="1"/>
  <c r="S222" i="4"/>
  <c r="AG222" i="4" s="1"/>
  <c r="R222" i="4"/>
  <c r="AF222" i="4" s="1"/>
  <c r="Q222" i="4"/>
  <c r="AE222" i="4" s="1"/>
  <c r="P223" i="4"/>
  <c r="U223" i="4" s="1"/>
  <c r="AI223" i="4" s="1"/>
  <c r="O224" i="4"/>
  <c r="V226" i="4"/>
  <c r="W225" i="4"/>
  <c r="T223" i="4" l="1"/>
  <c r="AH223" i="4" s="1"/>
  <c r="S223" i="4"/>
  <c r="AG223" i="4" s="1"/>
  <c r="R223" i="4"/>
  <c r="AF223" i="4" s="1"/>
  <c r="Q223" i="4"/>
  <c r="AE223" i="4" s="1"/>
  <c r="P224" i="4"/>
  <c r="U224" i="4" s="1"/>
  <c r="AI224" i="4" s="1"/>
  <c r="O225" i="4"/>
  <c r="V227" i="4"/>
  <c r="W226" i="4"/>
  <c r="S224" i="4" l="1"/>
  <c r="AG224" i="4" s="1"/>
  <c r="R224" i="4"/>
  <c r="AF224" i="4" s="1"/>
  <c r="Q224" i="4"/>
  <c r="AE224" i="4" s="1"/>
  <c r="T224" i="4"/>
  <c r="AH224" i="4" s="1"/>
  <c r="V228" i="4"/>
  <c r="W227" i="4"/>
  <c r="P225" i="4"/>
  <c r="U225" i="4" s="1"/>
  <c r="AI225" i="4" s="1"/>
  <c r="O226" i="4"/>
  <c r="T225" i="4" l="1"/>
  <c r="AH225" i="4" s="1"/>
  <c r="S225" i="4"/>
  <c r="AG225" i="4" s="1"/>
  <c r="R225" i="4"/>
  <c r="AF225" i="4" s="1"/>
  <c r="Q225" i="4"/>
  <c r="AE225" i="4" s="1"/>
  <c r="P226" i="4"/>
  <c r="U226" i="4" s="1"/>
  <c r="AI226" i="4" s="1"/>
  <c r="O227" i="4"/>
  <c r="W228" i="4"/>
  <c r="V229" i="4"/>
  <c r="Q226" i="4" l="1"/>
  <c r="AE226" i="4" s="1"/>
  <c r="T226" i="4"/>
  <c r="AH226" i="4" s="1"/>
  <c r="S226" i="4"/>
  <c r="AG226" i="4" s="1"/>
  <c r="R226" i="4"/>
  <c r="AF226" i="4" s="1"/>
  <c r="V230" i="4"/>
  <c r="W229" i="4"/>
  <c r="P227" i="4"/>
  <c r="U227" i="4" s="1"/>
  <c r="AI227" i="4" s="1"/>
  <c r="O228" i="4"/>
  <c r="T227" i="4" l="1"/>
  <c r="AH227" i="4" s="1"/>
  <c r="S227" i="4"/>
  <c r="AG227" i="4" s="1"/>
  <c r="R227" i="4"/>
  <c r="AF227" i="4" s="1"/>
  <c r="Q227" i="4"/>
  <c r="AE227" i="4" s="1"/>
  <c r="P228" i="4"/>
  <c r="U228" i="4" s="1"/>
  <c r="AI228" i="4" s="1"/>
  <c r="O229" i="4"/>
  <c r="V231" i="4"/>
  <c r="W230" i="4"/>
  <c r="T228" i="4" l="1"/>
  <c r="AH228" i="4" s="1"/>
  <c r="S228" i="4"/>
  <c r="AG228" i="4" s="1"/>
  <c r="R228" i="4"/>
  <c r="AF228" i="4" s="1"/>
  <c r="Q228" i="4"/>
  <c r="AE228" i="4" s="1"/>
  <c r="V232" i="4"/>
  <c r="W231" i="4"/>
  <c r="P229" i="4"/>
  <c r="U229" i="4" s="1"/>
  <c r="AI229" i="4" s="1"/>
  <c r="O230" i="4"/>
  <c r="R229" i="4" l="1"/>
  <c r="AF229" i="4" s="1"/>
  <c r="Q229" i="4"/>
  <c r="AE229" i="4" s="1"/>
  <c r="T229" i="4"/>
  <c r="AH229" i="4" s="1"/>
  <c r="S229" i="4"/>
  <c r="AG229" i="4" s="1"/>
  <c r="P230" i="4"/>
  <c r="U230" i="4" s="1"/>
  <c r="AI230" i="4" s="1"/>
  <c r="O231" i="4"/>
  <c r="V233" i="4"/>
  <c r="W232" i="4"/>
  <c r="T230" i="4" l="1"/>
  <c r="AH230" i="4" s="1"/>
  <c r="S230" i="4"/>
  <c r="AG230" i="4" s="1"/>
  <c r="R230" i="4"/>
  <c r="AF230" i="4" s="1"/>
  <c r="Q230" i="4"/>
  <c r="AE230" i="4" s="1"/>
  <c r="V234" i="4"/>
  <c r="W233" i="4"/>
  <c r="P231" i="4"/>
  <c r="U231" i="4" s="1"/>
  <c r="AI231" i="4" s="1"/>
  <c r="O232" i="4"/>
  <c r="T231" i="4" l="1"/>
  <c r="AH231" i="4" s="1"/>
  <c r="S231" i="4"/>
  <c r="AG231" i="4" s="1"/>
  <c r="R231" i="4"/>
  <c r="AF231" i="4" s="1"/>
  <c r="Q231" i="4"/>
  <c r="AE231" i="4" s="1"/>
  <c r="P232" i="4"/>
  <c r="U232" i="4" s="1"/>
  <c r="AI232" i="4" s="1"/>
  <c r="O233" i="4"/>
  <c r="W234" i="4"/>
  <c r="V235" i="4"/>
  <c r="S232" i="4" l="1"/>
  <c r="AG232" i="4" s="1"/>
  <c r="R232" i="4"/>
  <c r="AF232" i="4" s="1"/>
  <c r="Q232" i="4"/>
  <c r="AE232" i="4" s="1"/>
  <c r="T232" i="4"/>
  <c r="AH232" i="4" s="1"/>
  <c r="W235" i="4"/>
  <c r="V236" i="4"/>
  <c r="P233" i="4"/>
  <c r="U233" i="4" s="1"/>
  <c r="AI233" i="4" s="1"/>
  <c r="AI234" i="4" s="1"/>
  <c r="O234" i="4"/>
  <c r="T233" i="4" l="1"/>
  <c r="AH233" i="4" s="1"/>
  <c r="AH234" i="4" s="1"/>
  <c r="S233" i="4"/>
  <c r="AG233" i="4" s="1"/>
  <c r="AG234" i="4" s="1"/>
  <c r="R233" i="4"/>
  <c r="AF233" i="4" s="1"/>
  <c r="AF234" i="4" s="1"/>
  <c r="Q233" i="4"/>
  <c r="AE233" i="4" s="1"/>
  <c r="AE234" i="4" s="1"/>
  <c r="P234" i="4"/>
  <c r="O235" i="4"/>
  <c r="W236" i="4"/>
  <c r="V237" i="4"/>
  <c r="V238" i="4" l="1"/>
  <c r="W237" i="4"/>
  <c r="P235" i="4"/>
  <c r="U235" i="4" s="1"/>
  <c r="AI235" i="4" s="1"/>
  <c r="AI236" i="4" s="1"/>
  <c r="O236" i="4"/>
  <c r="T235" i="4" l="1"/>
  <c r="AH235" i="4" s="1"/>
  <c r="AH236" i="4" s="1"/>
  <c r="S235" i="4"/>
  <c r="AG235" i="4" s="1"/>
  <c r="AG236" i="4" s="1"/>
  <c r="R235" i="4"/>
  <c r="AF235" i="4" s="1"/>
  <c r="AF236" i="4" s="1"/>
  <c r="Q235" i="4"/>
  <c r="AE235" i="4" s="1"/>
  <c r="AE236" i="4" s="1"/>
  <c r="P236" i="4"/>
  <c r="O237" i="4"/>
  <c r="W238" i="4"/>
  <c r="V239" i="4"/>
  <c r="W239" i="4" l="1"/>
  <c r="V240" i="4"/>
  <c r="O238" i="4"/>
  <c r="P237" i="4"/>
  <c r="Q237" i="4" l="1"/>
  <c r="AE237" i="4" s="1"/>
  <c r="S237" i="4"/>
  <c r="AG237" i="4" s="1"/>
  <c r="R237" i="4"/>
  <c r="AF237" i="4" s="1"/>
  <c r="T237" i="4"/>
  <c r="AH237" i="4" s="1"/>
  <c r="U237" i="4"/>
  <c r="AI237" i="4" s="1"/>
  <c r="O239" i="4"/>
  <c r="P238" i="4"/>
  <c r="V241" i="4"/>
  <c r="W240" i="4"/>
  <c r="U238" i="4" l="1"/>
  <c r="AI238" i="4" s="1"/>
  <c r="R238" i="4"/>
  <c r="AF238" i="4" s="1"/>
  <c r="T238" i="4"/>
  <c r="AH238" i="4" s="1"/>
  <c r="S238" i="4"/>
  <c r="AG238" i="4" s="1"/>
  <c r="Q238" i="4"/>
  <c r="AE238" i="4" s="1"/>
  <c r="W241" i="4"/>
  <c r="V242" i="4"/>
  <c r="P239" i="4"/>
  <c r="O240" i="4"/>
  <c r="R239" i="4" l="1"/>
  <c r="AF239" i="4" s="1"/>
  <c r="S239" i="4"/>
  <c r="AG239" i="4" s="1"/>
  <c r="T239" i="4"/>
  <c r="AH239" i="4" s="1"/>
  <c r="U239" i="4"/>
  <c r="AI239" i="4" s="1"/>
  <c r="Q239" i="4"/>
  <c r="AE239" i="4" s="1"/>
  <c r="O241" i="4"/>
  <c r="P240" i="4"/>
  <c r="V243" i="4"/>
  <c r="W242" i="4"/>
  <c r="R240" i="4" l="1"/>
  <c r="AF240" i="4" s="1"/>
  <c r="U240" i="4"/>
  <c r="AI240" i="4" s="1"/>
  <c r="S240" i="4"/>
  <c r="AG240" i="4" s="1"/>
  <c r="T240" i="4"/>
  <c r="AH240" i="4" s="1"/>
  <c r="Q240" i="4"/>
  <c r="AE240" i="4" s="1"/>
  <c r="W243" i="4"/>
  <c r="V244" i="4"/>
  <c r="O242" i="4"/>
  <c r="P241" i="4"/>
  <c r="U241" i="4" s="1"/>
  <c r="AI241" i="4" l="1"/>
  <c r="S241" i="4"/>
  <c r="AG241" i="4" s="1"/>
  <c r="R241" i="4"/>
  <c r="AF241" i="4" s="1"/>
  <c r="Q241" i="4"/>
  <c r="AE241" i="4" s="1"/>
  <c r="T241" i="4"/>
  <c r="AH241" i="4" s="1"/>
  <c r="O243" i="4"/>
  <c r="P242" i="4"/>
  <c r="U242" i="4" s="1"/>
  <c r="AI242" i="4" s="1"/>
  <c r="V245" i="4"/>
  <c r="W244" i="4"/>
  <c r="T242" i="4" l="1"/>
  <c r="AH242" i="4" s="1"/>
  <c r="S242" i="4"/>
  <c r="AG242" i="4" s="1"/>
  <c r="R242" i="4"/>
  <c r="AF242" i="4" s="1"/>
  <c r="Q242" i="4"/>
  <c r="AE242" i="4" s="1"/>
  <c r="W245" i="4"/>
  <c r="V246" i="4"/>
  <c r="P243" i="4"/>
  <c r="U243" i="4" s="1"/>
  <c r="AI243" i="4" s="1"/>
  <c r="O244" i="4"/>
  <c r="Q243" i="4" l="1"/>
  <c r="AE243" i="4" s="1"/>
  <c r="T243" i="4"/>
  <c r="AH243" i="4" s="1"/>
  <c r="S243" i="4"/>
  <c r="AG243" i="4" s="1"/>
  <c r="R243" i="4"/>
  <c r="AF243" i="4" s="1"/>
  <c r="O245" i="4"/>
  <c r="P244" i="4"/>
  <c r="U244" i="4" s="1"/>
  <c r="AI244" i="4" s="1"/>
  <c r="W246" i="4"/>
  <c r="V247" i="4"/>
  <c r="T244" i="4" l="1"/>
  <c r="AH244" i="4" s="1"/>
  <c r="S244" i="4"/>
  <c r="AG244" i="4" s="1"/>
  <c r="R244" i="4"/>
  <c r="AF244" i="4" s="1"/>
  <c r="Q244" i="4"/>
  <c r="AE244" i="4" s="1"/>
  <c r="V248" i="4"/>
  <c r="W247" i="4"/>
  <c r="O246" i="4"/>
  <c r="P245" i="4"/>
  <c r="U245" i="4" s="1"/>
  <c r="AI245" i="4" s="1"/>
  <c r="T245" i="4" l="1"/>
  <c r="AH245" i="4" s="1"/>
  <c r="S245" i="4"/>
  <c r="AG245" i="4" s="1"/>
  <c r="R245" i="4"/>
  <c r="AF245" i="4" s="1"/>
  <c r="Q245" i="4"/>
  <c r="AE245" i="4" s="1"/>
  <c r="P246" i="4"/>
  <c r="U246" i="4" s="1"/>
  <c r="AI246" i="4" s="1"/>
  <c r="O247" i="4"/>
  <c r="W248" i="4"/>
  <c r="V249" i="4"/>
  <c r="R246" i="4" l="1"/>
  <c r="AF246" i="4" s="1"/>
  <c r="Q246" i="4"/>
  <c r="AE246" i="4" s="1"/>
  <c r="T246" i="4"/>
  <c r="AH246" i="4" s="1"/>
  <c r="S246" i="4"/>
  <c r="AG246" i="4" s="1"/>
  <c r="W249" i="4"/>
  <c r="V250" i="4"/>
  <c r="O248" i="4"/>
  <c r="P247" i="4"/>
  <c r="U247" i="4" s="1"/>
  <c r="AI247" i="4" s="1"/>
  <c r="T247" i="4" l="1"/>
  <c r="AH247" i="4" s="1"/>
  <c r="S247" i="4"/>
  <c r="AG247" i="4" s="1"/>
  <c r="R247" i="4"/>
  <c r="AF247" i="4" s="1"/>
  <c r="Q247" i="4"/>
  <c r="AE247" i="4" s="1"/>
  <c r="P248" i="4"/>
  <c r="U248" i="4" s="1"/>
  <c r="AI248" i="4" s="1"/>
  <c r="O249" i="4"/>
  <c r="W250" i="4"/>
  <c r="V251" i="4"/>
  <c r="T248" i="4" l="1"/>
  <c r="AH248" i="4" s="1"/>
  <c r="S248" i="4"/>
  <c r="AG248" i="4" s="1"/>
  <c r="R248" i="4"/>
  <c r="AF248" i="4" s="1"/>
  <c r="Q248" i="4"/>
  <c r="AE248" i="4" s="1"/>
  <c r="W251" i="4"/>
  <c r="V252" i="4"/>
  <c r="O250" i="4"/>
  <c r="P249" i="4"/>
  <c r="U249" i="4" s="1"/>
  <c r="AI249" i="4" s="1"/>
  <c r="S249" i="4" l="1"/>
  <c r="AG249" i="4" s="1"/>
  <c r="R249" i="4"/>
  <c r="AF249" i="4" s="1"/>
  <c r="Q249" i="4"/>
  <c r="AE249" i="4" s="1"/>
  <c r="T249" i="4"/>
  <c r="AH249" i="4" s="1"/>
  <c r="P250" i="4"/>
  <c r="U250" i="4" s="1"/>
  <c r="AI250" i="4" s="1"/>
  <c r="O251" i="4"/>
  <c r="V253" i="4"/>
  <c r="W252" i="4"/>
  <c r="T250" i="4" l="1"/>
  <c r="AH250" i="4" s="1"/>
  <c r="S250" i="4"/>
  <c r="AG250" i="4" s="1"/>
  <c r="R250" i="4"/>
  <c r="AF250" i="4" s="1"/>
  <c r="Q250" i="4"/>
  <c r="AE250" i="4" s="1"/>
  <c r="W253" i="4"/>
  <c r="V254" i="4"/>
  <c r="P251" i="4"/>
  <c r="U251" i="4" s="1"/>
  <c r="AI251" i="4" s="1"/>
  <c r="O252" i="4"/>
  <c r="Q251" i="4" l="1"/>
  <c r="AE251" i="4" s="1"/>
  <c r="T251" i="4"/>
  <c r="AH251" i="4" s="1"/>
  <c r="S251" i="4"/>
  <c r="AG251" i="4" s="1"/>
  <c r="R251" i="4"/>
  <c r="AF251" i="4" s="1"/>
  <c r="O253" i="4"/>
  <c r="P252" i="4"/>
  <c r="U252" i="4" s="1"/>
  <c r="AI252" i="4" s="1"/>
  <c r="V255" i="4"/>
  <c r="W254" i="4"/>
  <c r="T252" i="4" l="1"/>
  <c r="AH252" i="4" s="1"/>
  <c r="S252" i="4"/>
  <c r="AG252" i="4" s="1"/>
  <c r="R252" i="4"/>
  <c r="AF252" i="4" s="1"/>
  <c r="Q252" i="4"/>
  <c r="AE252" i="4" s="1"/>
  <c r="V256" i="4"/>
  <c r="W255" i="4"/>
  <c r="O254" i="4"/>
  <c r="P253" i="4"/>
  <c r="U253" i="4" s="1"/>
  <c r="AI253" i="4" s="1"/>
  <c r="T253" i="4" l="1"/>
  <c r="AH253" i="4" s="1"/>
  <c r="S253" i="4"/>
  <c r="AG253" i="4" s="1"/>
  <c r="R253" i="4"/>
  <c r="AF253" i="4" s="1"/>
  <c r="Q253" i="4"/>
  <c r="AE253" i="4" s="1"/>
  <c r="O255" i="4"/>
  <c r="P254" i="4"/>
  <c r="U254" i="4" s="1"/>
  <c r="AI254" i="4" s="1"/>
  <c r="V257" i="4"/>
  <c r="W256" i="4"/>
  <c r="R254" i="4" l="1"/>
  <c r="AF254" i="4" s="1"/>
  <c r="Q254" i="4"/>
  <c r="AE254" i="4" s="1"/>
  <c r="T254" i="4"/>
  <c r="AH254" i="4" s="1"/>
  <c r="S254" i="4"/>
  <c r="AG254" i="4" s="1"/>
  <c r="W257" i="4"/>
  <c r="V258" i="4"/>
  <c r="P255" i="4"/>
  <c r="U255" i="4" s="1"/>
  <c r="AI255" i="4" s="1"/>
  <c r="O256" i="4"/>
  <c r="T255" i="4" l="1"/>
  <c r="AH255" i="4" s="1"/>
  <c r="S255" i="4"/>
  <c r="AG255" i="4" s="1"/>
  <c r="R255" i="4"/>
  <c r="AF255" i="4" s="1"/>
  <c r="Q255" i="4"/>
  <c r="AE255" i="4" s="1"/>
  <c r="O257" i="4"/>
  <c r="P256" i="4"/>
  <c r="U256" i="4" s="1"/>
  <c r="AI256" i="4" s="1"/>
  <c r="V259" i="4"/>
  <c r="W258" i="4"/>
  <c r="T256" i="4" l="1"/>
  <c r="AH256" i="4" s="1"/>
  <c r="S256" i="4"/>
  <c r="AG256" i="4" s="1"/>
  <c r="R256" i="4"/>
  <c r="AF256" i="4" s="1"/>
  <c r="Q256" i="4"/>
  <c r="AE256" i="4" s="1"/>
  <c r="W259" i="4"/>
  <c r="V260" i="4"/>
  <c r="O258" i="4"/>
  <c r="P257" i="4"/>
  <c r="U257" i="4" s="1"/>
  <c r="AI257" i="4" s="1"/>
  <c r="S257" i="4" l="1"/>
  <c r="AG257" i="4" s="1"/>
  <c r="R257" i="4"/>
  <c r="AF257" i="4" s="1"/>
  <c r="Q257" i="4"/>
  <c r="AE257" i="4" s="1"/>
  <c r="T257" i="4"/>
  <c r="AH257" i="4" s="1"/>
  <c r="O259" i="4"/>
  <c r="P258" i="4"/>
  <c r="U258" i="4" s="1"/>
  <c r="AI258" i="4" s="1"/>
  <c r="V261" i="4"/>
  <c r="W260" i="4"/>
  <c r="T258" i="4" l="1"/>
  <c r="AH258" i="4" s="1"/>
  <c r="S258" i="4"/>
  <c r="AG258" i="4" s="1"/>
  <c r="R258" i="4"/>
  <c r="AF258" i="4" s="1"/>
  <c r="Q258" i="4"/>
  <c r="AE258" i="4" s="1"/>
  <c r="W261" i="4"/>
  <c r="V262" i="4"/>
  <c r="P259" i="4"/>
  <c r="U259" i="4" s="1"/>
  <c r="AI259" i="4" s="1"/>
  <c r="O260" i="4"/>
  <c r="Q259" i="4" l="1"/>
  <c r="AE259" i="4" s="1"/>
  <c r="T259" i="4"/>
  <c r="AH259" i="4" s="1"/>
  <c r="S259" i="4"/>
  <c r="AG259" i="4" s="1"/>
  <c r="R259" i="4"/>
  <c r="AF259" i="4" s="1"/>
  <c r="O261" i="4"/>
  <c r="P260" i="4"/>
  <c r="U260" i="4" s="1"/>
  <c r="AI260" i="4" s="1"/>
  <c r="V263" i="4"/>
  <c r="W262" i="4"/>
  <c r="T260" i="4" l="1"/>
  <c r="AH260" i="4" s="1"/>
  <c r="S260" i="4"/>
  <c r="AG260" i="4" s="1"/>
  <c r="R260" i="4"/>
  <c r="AF260" i="4" s="1"/>
  <c r="Q260" i="4"/>
  <c r="AE260" i="4" s="1"/>
  <c r="V264" i="4"/>
  <c r="W263" i="4"/>
  <c r="O262" i="4"/>
  <c r="P261" i="4"/>
  <c r="U261" i="4" s="1"/>
  <c r="AI261" i="4" s="1"/>
  <c r="T261" i="4" l="1"/>
  <c r="AH261" i="4" s="1"/>
  <c r="S261" i="4"/>
  <c r="AG261" i="4" s="1"/>
  <c r="R261" i="4"/>
  <c r="AF261" i="4" s="1"/>
  <c r="Q261" i="4"/>
  <c r="AE261" i="4" s="1"/>
  <c r="O263" i="4"/>
  <c r="P262" i="4"/>
  <c r="U262" i="4" s="1"/>
  <c r="AI262" i="4" s="1"/>
  <c r="W264" i="4"/>
  <c r="V265" i="4"/>
  <c r="R262" i="4" l="1"/>
  <c r="AF262" i="4" s="1"/>
  <c r="Q262" i="4"/>
  <c r="AE262" i="4" s="1"/>
  <c r="T262" i="4"/>
  <c r="AH262" i="4" s="1"/>
  <c r="S262" i="4"/>
  <c r="AG262" i="4" s="1"/>
  <c r="W265" i="4"/>
  <c r="V266" i="4"/>
  <c r="O264" i="4"/>
  <c r="P263" i="4"/>
  <c r="U263" i="4" s="1"/>
  <c r="AI263" i="4" s="1"/>
  <c r="T263" i="4" l="1"/>
  <c r="AH263" i="4" s="1"/>
  <c r="S263" i="4"/>
  <c r="AG263" i="4" s="1"/>
  <c r="R263" i="4"/>
  <c r="AF263" i="4" s="1"/>
  <c r="Q263" i="4"/>
  <c r="AE263" i="4" s="1"/>
  <c r="W266" i="4"/>
  <c r="V267" i="4"/>
  <c r="P264" i="4"/>
  <c r="U264" i="4" s="1"/>
  <c r="AI264" i="4" s="1"/>
  <c r="O265" i="4"/>
  <c r="T264" i="4" l="1"/>
  <c r="AH264" i="4" s="1"/>
  <c r="S264" i="4"/>
  <c r="AG264" i="4" s="1"/>
  <c r="R264" i="4"/>
  <c r="AF264" i="4" s="1"/>
  <c r="Q264" i="4"/>
  <c r="AE264" i="4" s="1"/>
  <c r="O266" i="4"/>
  <c r="P265" i="4"/>
  <c r="U265" i="4" s="1"/>
  <c r="AI265" i="4" s="1"/>
  <c r="W267" i="4"/>
  <c r="V268" i="4"/>
  <c r="S265" i="4" l="1"/>
  <c r="AG265" i="4" s="1"/>
  <c r="R265" i="4"/>
  <c r="AF265" i="4" s="1"/>
  <c r="Q265" i="4"/>
  <c r="AE265" i="4" s="1"/>
  <c r="T265" i="4"/>
  <c r="AH265" i="4" s="1"/>
  <c r="V269" i="4"/>
  <c r="W268" i="4"/>
  <c r="P266" i="4"/>
  <c r="U266" i="4" s="1"/>
  <c r="AI266" i="4" s="1"/>
  <c r="O267" i="4"/>
  <c r="T266" i="4" l="1"/>
  <c r="AH266" i="4" s="1"/>
  <c r="S266" i="4"/>
  <c r="AG266" i="4" s="1"/>
  <c r="R266" i="4"/>
  <c r="AF266" i="4" s="1"/>
  <c r="Q266" i="4"/>
  <c r="AE266" i="4" s="1"/>
  <c r="P267" i="4"/>
  <c r="U267" i="4" s="1"/>
  <c r="AI267" i="4" s="1"/>
  <c r="O268" i="4"/>
  <c r="W269" i="4"/>
  <c r="V270" i="4"/>
  <c r="Q267" i="4" l="1"/>
  <c r="AE267" i="4" s="1"/>
  <c r="T267" i="4"/>
  <c r="AH267" i="4" s="1"/>
  <c r="S267" i="4"/>
  <c r="AG267" i="4" s="1"/>
  <c r="R267" i="4"/>
  <c r="AF267" i="4" s="1"/>
  <c r="W270" i="4"/>
  <c r="V271" i="4"/>
  <c r="O269" i="4"/>
  <c r="P268" i="4"/>
  <c r="U268" i="4" s="1"/>
  <c r="AI268" i="4" s="1"/>
  <c r="T268" i="4" l="1"/>
  <c r="AH268" i="4" s="1"/>
  <c r="S268" i="4"/>
  <c r="AG268" i="4" s="1"/>
  <c r="R268" i="4"/>
  <c r="AF268" i="4" s="1"/>
  <c r="Q268" i="4"/>
  <c r="AE268" i="4" s="1"/>
  <c r="O270" i="4"/>
  <c r="P269" i="4"/>
  <c r="U269" i="4" s="1"/>
  <c r="AI269" i="4" s="1"/>
  <c r="V272" i="4"/>
  <c r="W271" i="4"/>
  <c r="T269" i="4" l="1"/>
  <c r="AH269" i="4" s="1"/>
  <c r="S269" i="4"/>
  <c r="AG269" i="4" s="1"/>
  <c r="R269" i="4"/>
  <c r="AF269" i="4" s="1"/>
  <c r="Q269" i="4"/>
  <c r="AE269" i="4" s="1"/>
  <c r="W272" i="4"/>
  <c r="V273" i="4"/>
  <c r="P270" i="4"/>
  <c r="U270" i="4" s="1"/>
  <c r="AI270" i="4" s="1"/>
  <c r="O271" i="4"/>
  <c r="R270" i="4" l="1"/>
  <c r="AF270" i="4" s="1"/>
  <c r="Q270" i="4"/>
  <c r="AE270" i="4" s="1"/>
  <c r="T270" i="4"/>
  <c r="AH270" i="4" s="1"/>
  <c r="S270" i="4"/>
  <c r="AG270" i="4" s="1"/>
  <c r="O272" i="4"/>
  <c r="P271" i="4"/>
  <c r="W273" i="4"/>
  <c r="V274" i="4"/>
  <c r="S271" i="4" l="1"/>
  <c r="AG271" i="4" s="1"/>
  <c r="U271" i="4"/>
  <c r="AI271" i="4" s="1"/>
  <c r="T271" i="4"/>
  <c r="AH271" i="4" s="1"/>
  <c r="Q271" i="4"/>
  <c r="AE271" i="4" s="1"/>
  <c r="R271" i="4"/>
  <c r="AF271" i="4" s="1"/>
  <c r="W274" i="4"/>
  <c r="V275" i="4"/>
  <c r="P272" i="4"/>
  <c r="O273" i="4"/>
  <c r="Q272" i="4" l="1"/>
  <c r="AE272" i="4" s="1"/>
  <c r="S272" i="4"/>
  <c r="AG272" i="4" s="1"/>
  <c r="T272" i="4"/>
  <c r="AH272" i="4" s="1"/>
  <c r="R272" i="4"/>
  <c r="AF272" i="4" s="1"/>
  <c r="U272" i="4"/>
  <c r="AI272" i="4" s="1"/>
  <c r="O274" i="4"/>
  <c r="P273" i="4"/>
  <c r="V276" i="4"/>
  <c r="W275" i="4"/>
  <c r="U273" i="4" l="1"/>
  <c r="AI273" i="4" s="1"/>
  <c r="Q273" i="4"/>
  <c r="AE273" i="4" s="1"/>
  <c r="R273" i="4"/>
  <c r="AF273" i="4" s="1"/>
  <c r="S273" i="4"/>
  <c r="AG273" i="4" s="1"/>
  <c r="T273" i="4"/>
  <c r="AH273" i="4" s="1"/>
  <c r="W276" i="4"/>
  <c r="V277" i="4"/>
  <c r="P274" i="4"/>
  <c r="O275" i="4"/>
  <c r="T274" i="4" l="1"/>
  <c r="AH274" i="4" s="1"/>
  <c r="Q274" i="4"/>
  <c r="AE274" i="4" s="1"/>
  <c r="U274" i="4"/>
  <c r="AI274" i="4" s="1"/>
  <c r="S274" i="4"/>
  <c r="AG274" i="4" s="1"/>
  <c r="R274" i="4"/>
  <c r="AF274" i="4" s="1"/>
  <c r="O276" i="4"/>
  <c r="P275" i="4"/>
  <c r="W277" i="4"/>
  <c r="V278" i="4"/>
  <c r="Q275" i="4" l="1"/>
  <c r="AE275" i="4" s="1"/>
  <c r="AE276" i="4" s="1"/>
  <c r="AE277" i="4" s="1"/>
  <c r="AE278" i="4" s="1"/>
  <c r="AE279" i="4" s="1"/>
  <c r="AE280" i="4" s="1"/>
  <c r="S275" i="4"/>
  <c r="AG275" i="4" s="1"/>
  <c r="AG276" i="4" s="1"/>
  <c r="AG277" i="4" s="1"/>
  <c r="AG278" i="4" s="1"/>
  <c r="AG279" i="4" s="1"/>
  <c r="AG280" i="4" s="1"/>
  <c r="T275" i="4"/>
  <c r="AH275" i="4" s="1"/>
  <c r="AH276" i="4" s="1"/>
  <c r="AH277" i="4" s="1"/>
  <c r="AH278" i="4" s="1"/>
  <c r="AH279" i="4" s="1"/>
  <c r="AH280" i="4" s="1"/>
  <c r="U275" i="4"/>
  <c r="AI275" i="4" s="1"/>
  <c r="AI276" i="4" s="1"/>
  <c r="AI277" i="4" s="1"/>
  <c r="AI278" i="4" s="1"/>
  <c r="AI279" i="4" s="1"/>
  <c r="AI280" i="4" s="1"/>
  <c r="R275" i="4"/>
  <c r="AF275" i="4" s="1"/>
  <c r="AF276" i="4" s="1"/>
  <c r="AF277" i="4" s="1"/>
  <c r="AF278" i="4" s="1"/>
  <c r="AF279" i="4" s="1"/>
  <c r="AF280" i="4" s="1"/>
  <c r="W278" i="4"/>
  <c r="V279" i="4"/>
  <c r="P276" i="4"/>
  <c r="O277" i="4"/>
  <c r="O278" i="4" l="1"/>
  <c r="P277" i="4"/>
  <c r="V280" i="4"/>
  <c r="W279" i="4"/>
  <c r="W280" i="4" l="1"/>
  <c r="V281" i="4"/>
  <c r="P278" i="4"/>
  <c r="O279" i="4"/>
  <c r="O280" i="4" l="1"/>
  <c r="P279" i="4"/>
  <c r="W281" i="4"/>
  <c r="V282" i="4"/>
  <c r="W282" i="4" l="1"/>
  <c r="V283" i="4"/>
  <c r="P280" i="4"/>
  <c r="O281" i="4"/>
  <c r="O282" i="4" l="1"/>
  <c r="P281" i="4"/>
  <c r="W283" i="4"/>
  <c r="V284" i="4"/>
  <c r="Q281" i="4" l="1"/>
  <c r="AE281" i="4" s="1"/>
  <c r="U281" i="4"/>
  <c r="AI281" i="4" s="1"/>
  <c r="S281" i="4"/>
  <c r="AG281" i="4" s="1"/>
  <c r="R281" i="4"/>
  <c r="AF281" i="4" s="1"/>
  <c r="T281" i="4"/>
  <c r="AH281" i="4" s="1"/>
  <c r="V285" i="4"/>
  <c r="W284" i="4"/>
  <c r="P282" i="4"/>
  <c r="O283" i="4"/>
  <c r="U282" i="4" l="1"/>
  <c r="AI282" i="4" s="1"/>
  <c r="Q282" i="4"/>
  <c r="AE282" i="4" s="1"/>
  <c r="T282" i="4"/>
  <c r="AH282" i="4" s="1"/>
  <c r="S282" i="4"/>
  <c r="AG282" i="4" s="1"/>
  <c r="R282" i="4"/>
  <c r="AF282" i="4" s="1"/>
  <c r="P283" i="4"/>
  <c r="O284" i="4"/>
  <c r="W285" i="4"/>
  <c r="V286" i="4"/>
  <c r="U283" i="4" l="1"/>
  <c r="AI283" i="4" s="1"/>
  <c r="Q283" i="4"/>
  <c r="AE283" i="4" s="1"/>
  <c r="T283" i="4"/>
  <c r="AH283" i="4" s="1"/>
  <c r="S283" i="4"/>
  <c r="AG283" i="4" s="1"/>
  <c r="R283" i="4"/>
  <c r="AF283" i="4" s="1"/>
  <c r="W286" i="4"/>
  <c r="V287" i="4"/>
  <c r="O285" i="4"/>
  <c r="P284" i="4"/>
  <c r="Q284" i="4" l="1"/>
  <c r="AE284" i="4" s="1"/>
  <c r="U284" i="4"/>
  <c r="AI284" i="4" s="1"/>
  <c r="T284" i="4"/>
  <c r="AH284" i="4" s="1"/>
  <c r="S284" i="4"/>
  <c r="AG284" i="4" s="1"/>
  <c r="R284" i="4"/>
  <c r="AF284" i="4" s="1"/>
  <c r="O286" i="4"/>
  <c r="P285" i="4"/>
  <c r="V288" i="4"/>
  <c r="W287" i="4"/>
  <c r="Q285" i="4" l="1"/>
  <c r="AE285" i="4" s="1"/>
  <c r="U285" i="4"/>
  <c r="AI285" i="4" s="1"/>
  <c r="T285" i="4"/>
  <c r="AH285" i="4" s="1"/>
  <c r="S285" i="4"/>
  <c r="AG285" i="4" s="1"/>
  <c r="R285" i="4"/>
  <c r="AF285" i="4" s="1"/>
  <c r="V289" i="4"/>
  <c r="W288" i="4"/>
  <c r="P286" i="4"/>
  <c r="O287" i="4"/>
  <c r="U286" i="4" l="1"/>
  <c r="AI286" i="4" s="1"/>
  <c r="Q286" i="4"/>
  <c r="AE286" i="4" s="1"/>
  <c r="R286" i="4"/>
  <c r="AF286" i="4" s="1"/>
  <c r="T286" i="4"/>
  <c r="AH286" i="4" s="1"/>
  <c r="S286" i="4"/>
  <c r="AG286" i="4" s="1"/>
  <c r="O288" i="4"/>
  <c r="P287" i="4"/>
  <c r="W289" i="4"/>
  <c r="V290" i="4"/>
  <c r="U287" i="4" l="1"/>
  <c r="AI287" i="4" s="1"/>
  <c r="Q287" i="4"/>
  <c r="AE287" i="4" s="1"/>
  <c r="T287" i="4"/>
  <c r="AH287" i="4" s="1"/>
  <c r="S287" i="4"/>
  <c r="AG287" i="4" s="1"/>
  <c r="R287" i="4"/>
  <c r="AF287" i="4" s="1"/>
  <c r="W290" i="4"/>
  <c r="V291" i="4"/>
  <c r="O289" i="4"/>
  <c r="P288" i="4"/>
  <c r="U288" i="4" l="1"/>
  <c r="AI288" i="4" s="1"/>
  <c r="Q288" i="4"/>
  <c r="AE288" i="4" s="1"/>
  <c r="T288" i="4"/>
  <c r="AH288" i="4" s="1"/>
  <c r="S288" i="4"/>
  <c r="AG288" i="4" s="1"/>
  <c r="R288" i="4"/>
  <c r="AF288" i="4" s="1"/>
  <c r="O290" i="4"/>
  <c r="P289" i="4"/>
  <c r="V292" i="4"/>
  <c r="W291" i="4"/>
  <c r="Q289" i="4" l="1"/>
  <c r="AE289" i="4" s="1"/>
  <c r="U289" i="4"/>
  <c r="AI289" i="4" s="1"/>
  <c r="S289" i="4"/>
  <c r="AG289" i="4" s="1"/>
  <c r="R289" i="4"/>
  <c r="AF289" i="4" s="1"/>
  <c r="T289" i="4"/>
  <c r="AH289" i="4" s="1"/>
  <c r="W292" i="4"/>
  <c r="V293" i="4"/>
  <c r="P290" i="4"/>
  <c r="O291" i="4"/>
  <c r="Q290" i="4" l="1"/>
  <c r="AE290" i="4" s="1"/>
  <c r="U290" i="4"/>
  <c r="AI290" i="4" s="1"/>
  <c r="T290" i="4"/>
  <c r="AH290" i="4" s="1"/>
  <c r="S290" i="4"/>
  <c r="AG290" i="4" s="1"/>
  <c r="R290" i="4"/>
  <c r="AF290" i="4" s="1"/>
  <c r="W293" i="4"/>
  <c r="V294" i="4"/>
  <c r="O292" i="4"/>
  <c r="P291" i="4"/>
  <c r="U291" i="4" l="1"/>
  <c r="AI291" i="4" s="1"/>
  <c r="Q291" i="4"/>
  <c r="AE291" i="4" s="1"/>
  <c r="T291" i="4"/>
  <c r="AH291" i="4" s="1"/>
  <c r="S291" i="4"/>
  <c r="AG291" i="4" s="1"/>
  <c r="R291" i="4"/>
  <c r="AF291" i="4" s="1"/>
  <c r="P292" i="4"/>
  <c r="O293" i="4"/>
  <c r="W294" i="4"/>
  <c r="V295" i="4"/>
  <c r="Q292" i="4" l="1"/>
  <c r="AE292" i="4" s="1"/>
  <c r="U292" i="4"/>
  <c r="AI292" i="4" s="1"/>
  <c r="T292" i="4"/>
  <c r="AH292" i="4" s="1"/>
  <c r="S292" i="4"/>
  <c r="AG292" i="4" s="1"/>
  <c r="R292" i="4"/>
  <c r="AF292" i="4" s="1"/>
  <c r="V296" i="4"/>
  <c r="W295" i="4"/>
  <c r="O294" i="4"/>
  <c r="P293" i="4"/>
  <c r="Q293" i="4" l="1"/>
  <c r="AE293" i="4" s="1"/>
  <c r="U293" i="4"/>
  <c r="AI293" i="4" s="1"/>
  <c r="T293" i="4"/>
  <c r="AH293" i="4" s="1"/>
  <c r="S293" i="4"/>
  <c r="AG293" i="4" s="1"/>
  <c r="R293" i="4"/>
  <c r="AF293" i="4" s="1"/>
  <c r="P294" i="4"/>
  <c r="O295" i="4"/>
  <c r="W296" i="4"/>
  <c r="V297" i="4"/>
  <c r="U294" i="4" l="1"/>
  <c r="AI294" i="4" s="1"/>
  <c r="Q294" i="4"/>
  <c r="AE294" i="4" s="1"/>
  <c r="R294" i="4"/>
  <c r="AF294" i="4" s="1"/>
  <c r="T294" i="4"/>
  <c r="AH294" i="4" s="1"/>
  <c r="S294" i="4"/>
  <c r="AG294" i="4" s="1"/>
  <c r="W297" i="4"/>
  <c r="V298" i="4"/>
  <c r="O296" i="4"/>
  <c r="P295" i="4"/>
  <c r="U295" i="4" l="1"/>
  <c r="AI295" i="4" s="1"/>
  <c r="Q295" i="4"/>
  <c r="AE295" i="4" s="1"/>
  <c r="T295" i="4"/>
  <c r="AH295" i="4" s="1"/>
  <c r="S295" i="4"/>
  <c r="AG295" i="4" s="1"/>
  <c r="R295" i="4"/>
  <c r="AF295" i="4" s="1"/>
  <c r="W298" i="4"/>
  <c r="V299" i="4"/>
  <c r="P296" i="4"/>
  <c r="O297" i="4"/>
  <c r="U296" i="4" l="1"/>
  <c r="AI296" i="4" s="1"/>
  <c r="Q296" i="4"/>
  <c r="AE296" i="4" s="1"/>
  <c r="T296" i="4"/>
  <c r="AH296" i="4" s="1"/>
  <c r="S296" i="4"/>
  <c r="AG296" i="4" s="1"/>
  <c r="R296" i="4"/>
  <c r="AF296" i="4" s="1"/>
  <c r="O298" i="4"/>
  <c r="P297" i="4"/>
  <c r="W299" i="4"/>
  <c r="V300" i="4"/>
  <c r="Q297" i="4" l="1"/>
  <c r="AE297" i="4" s="1"/>
  <c r="U297" i="4"/>
  <c r="AI297" i="4" s="1"/>
  <c r="S297" i="4"/>
  <c r="AG297" i="4" s="1"/>
  <c r="R297" i="4"/>
  <c r="AF297" i="4" s="1"/>
  <c r="T297" i="4"/>
  <c r="AH297" i="4" s="1"/>
  <c r="W300" i="4"/>
  <c r="V301" i="4"/>
  <c r="P298" i="4"/>
  <c r="O299" i="4"/>
  <c r="U298" i="4" l="1"/>
  <c r="AI298" i="4" s="1"/>
  <c r="Q298" i="4"/>
  <c r="AE298" i="4" s="1"/>
  <c r="T298" i="4"/>
  <c r="AH298" i="4" s="1"/>
  <c r="S298" i="4"/>
  <c r="AG298" i="4" s="1"/>
  <c r="R298" i="4"/>
  <c r="AF298" i="4" s="1"/>
  <c r="W301" i="4"/>
  <c r="V302" i="4"/>
  <c r="P299" i="4"/>
  <c r="O300" i="4"/>
  <c r="S299" i="4" l="1"/>
  <c r="AG299" i="4" s="1"/>
  <c r="U299" i="4"/>
  <c r="AI299" i="4" s="1"/>
  <c r="T299" i="4"/>
  <c r="AH299" i="4" s="1"/>
  <c r="Q299" i="4"/>
  <c r="AE299" i="4" s="1"/>
  <c r="R299" i="4"/>
  <c r="AF299" i="4" s="1"/>
  <c r="P300" i="4"/>
  <c r="O301" i="4"/>
  <c r="W302" i="4"/>
  <c r="V303" i="4"/>
  <c r="Q300" i="4" l="1"/>
  <c r="AE300" i="4" s="1"/>
  <c r="S300" i="4"/>
  <c r="AG300" i="4" s="1"/>
  <c r="R300" i="4"/>
  <c r="AF300" i="4" s="1"/>
  <c r="U300" i="4"/>
  <c r="AI300" i="4" s="1"/>
  <c r="T300" i="4"/>
  <c r="AH300" i="4" s="1"/>
  <c r="W303" i="4"/>
  <c r="V304" i="4"/>
  <c r="O302" i="4"/>
  <c r="P301" i="4"/>
  <c r="Q301" i="4" l="1"/>
  <c r="AE301" i="4" s="1"/>
  <c r="U301" i="4"/>
  <c r="AI301" i="4" s="1"/>
  <c r="T301" i="4"/>
  <c r="AH301" i="4" s="1"/>
  <c r="S301" i="4"/>
  <c r="AG301" i="4" s="1"/>
  <c r="R301" i="4"/>
  <c r="AF301" i="4" s="1"/>
  <c r="P302" i="4"/>
  <c r="O303" i="4"/>
  <c r="W304" i="4"/>
  <c r="V305" i="4"/>
  <c r="U302" i="4" l="1"/>
  <c r="AI302" i="4" s="1"/>
  <c r="Q302" i="4"/>
  <c r="AE302" i="4" s="1"/>
  <c r="T302" i="4"/>
  <c r="AH302" i="4" s="1"/>
  <c r="S302" i="4"/>
  <c r="AG302" i="4" s="1"/>
  <c r="R302" i="4"/>
  <c r="AF302" i="4" s="1"/>
  <c r="W305" i="4"/>
  <c r="V306" i="4"/>
  <c r="P303" i="4"/>
  <c r="O304" i="4"/>
  <c r="U303" i="4" l="1"/>
  <c r="AI303" i="4" s="1"/>
  <c r="Q303" i="4"/>
  <c r="AE303" i="4" s="1"/>
  <c r="R303" i="4"/>
  <c r="AF303" i="4" s="1"/>
  <c r="T303" i="4"/>
  <c r="AH303" i="4" s="1"/>
  <c r="S303" i="4"/>
  <c r="AG303" i="4" s="1"/>
  <c r="P304" i="4"/>
  <c r="O305" i="4"/>
  <c r="W306" i="4"/>
  <c r="V307" i="4"/>
  <c r="U304" i="4" l="1"/>
  <c r="AI304" i="4" s="1"/>
  <c r="Q304" i="4"/>
  <c r="AE304" i="4" s="1"/>
  <c r="T304" i="4"/>
  <c r="AH304" i="4" s="1"/>
  <c r="S304" i="4"/>
  <c r="AG304" i="4" s="1"/>
  <c r="R304" i="4"/>
  <c r="AF304" i="4" s="1"/>
  <c r="V308" i="4"/>
  <c r="W307" i="4"/>
  <c r="O306" i="4"/>
  <c r="P305" i="4"/>
  <c r="Q305" i="4" l="1"/>
  <c r="AE305" i="4" s="1"/>
  <c r="U305" i="4"/>
  <c r="AI305" i="4" s="1"/>
  <c r="T305" i="4"/>
  <c r="AH305" i="4" s="1"/>
  <c r="S305" i="4"/>
  <c r="AG305" i="4" s="1"/>
  <c r="R305" i="4"/>
  <c r="AF305" i="4" s="1"/>
  <c r="P306" i="4"/>
  <c r="O307" i="4"/>
  <c r="W308" i="4"/>
  <c r="V309" i="4"/>
  <c r="Q306" i="4" l="1"/>
  <c r="AE306" i="4" s="1"/>
  <c r="U306" i="4"/>
  <c r="AI306" i="4" s="1"/>
  <c r="S306" i="4"/>
  <c r="AG306" i="4" s="1"/>
  <c r="R306" i="4"/>
  <c r="AF306" i="4" s="1"/>
  <c r="T306" i="4"/>
  <c r="AH306" i="4" s="1"/>
  <c r="W309" i="4"/>
  <c r="V310" i="4"/>
  <c r="O308" i="4"/>
  <c r="P307" i="4"/>
  <c r="U307" i="4" l="1"/>
  <c r="AI307" i="4" s="1"/>
  <c r="Q307" i="4"/>
  <c r="AE307" i="4" s="1"/>
  <c r="T307" i="4"/>
  <c r="AH307" i="4" s="1"/>
  <c r="S307" i="4"/>
  <c r="AG307" i="4" s="1"/>
  <c r="R307" i="4"/>
  <c r="AF307" i="4" s="1"/>
  <c r="P308" i="4"/>
  <c r="O309" i="4"/>
  <c r="V311" i="4"/>
  <c r="W310" i="4"/>
  <c r="Q308" i="4" l="1"/>
  <c r="AE308" i="4" s="1"/>
  <c r="U308" i="4"/>
  <c r="AI308" i="4" s="1"/>
  <c r="T308" i="4"/>
  <c r="AH308" i="4" s="1"/>
  <c r="S308" i="4"/>
  <c r="AG308" i="4" s="1"/>
  <c r="R308" i="4"/>
  <c r="AF308" i="4" s="1"/>
  <c r="V312" i="4"/>
  <c r="W311" i="4"/>
  <c r="O310" i="4"/>
  <c r="P309" i="4"/>
  <c r="Q309" i="4" l="1"/>
  <c r="AE309" i="4" s="1"/>
  <c r="U309" i="4"/>
  <c r="AI309" i="4" s="1"/>
  <c r="T309" i="4"/>
  <c r="AH309" i="4" s="1"/>
  <c r="S309" i="4"/>
  <c r="AG309" i="4" s="1"/>
  <c r="R309" i="4"/>
  <c r="AF309" i="4" s="1"/>
  <c r="O311" i="4"/>
  <c r="P310" i="4"/>
  <c r="V313" i="4"/>
  <c r="W312" i="4"/>
  <c r="U310" i="4" l="1"/>
  <c r="AI310" i="4" s="1"/>
  <c r="Q310" i="4"/>
  <c r="AE310" i="4" s="1"/>
  <c r="T310" i="4"/>
  <c r="AH310" i="4" s="1"/>
  <c r="S310" i="4"/>
  <c r="AG310" i="4" s="1"/>
  <c r="R310" i="4"/>
  <c r="AF310" i="4" s="1"/>
  <c r="W313" i="4"/>
  <c r="V314" i="4"/>
  <c r="P311" i="4"/>
  <c r="O312" i="4"/>
  <c r="U311" i="4" l="1"/>
  <c r="AI311" i="4" s="1"/>
  <c r="Q311" i="4"/>
  <c r="AE311" i="4" s="1"/>
  <c r="R311" i="4"/>
  <c r="AF311" i="4" s="1"/>
  <c r="T311" i="4"/>
  <c r="AH311" i="4" s="1"/>
  <c r="S311" i="4"/>
  <c r="AG311" i="4" s="1"/>
  <c r="V315" i="4"/>
  <c r="W314" i="4"/>
  <c r="O313" i="4"/>
  <c r="P312" i="4"/>
  <c r="U312" i="4" l="1"/>
  <c r="AI312" i="4" s="1"/>
  <c r="Q312" i="4"/>
  <c r="AE312" i="4" s="1"/>
  <c r="T312" i="4"/>
  <c r="AH312" i="4" s="1"/>
  <c r="S312" i="4"/>
  <c r="AG312" i="4" s="1"/>
  <c r="R312" i="4"/>
  <c r="AF312" i="4" s="1"/>
  <c r="O314" i="4"/>
  <c r="P313" i="4"/>
  <c r="W315" i="4"/>
  <c r="V316" i="4"/>
  <c r="Q313" i="4" l="1"/>
  <c r="AE313" i="4" s="1"/>
  <c r="U313" i="4"/>
  <c r="AI313" i="4" s="1"/>
  <c r="T313" i="4"/>
  <c r="AH313" i="4" s="1"/>
  <c r="S313" i="4"/>
  <c r="AG313" i="4" s="1"/>
  <c r="R313" i="4"/>
  <c r="AF313" i="4" s="1"/>
  <c r="V317" i="4"/>
  <c r="W316" i="4"/>
  <c r="O315" i="4"/>
  <c r="P314" i="4"/>
  <c r="U314" i="4" l="1"/>
  <c r="AI314" i="4" s="1"/>
  <c r="Q314" i="4"/>
  <c r="AE314" i="4" s="1"/>
  <c r="S314" i="4"/>
  <c r="AG314" i="4" s="1"/>
  <c r="R314" i="4"/>
  <c r="AF314" i="4" s="1"/>
  <c r="T314" i="4"/>
  <c r="AH314" i="4" s="1"/>
  <c r="P315" i="4"/>
  <c r="O316" i="4"/>
  <c r="W317" i="4"/>
  <c r="V318" i="4"/>
  <c r="U315" i="4" l="1"/>
  <c r="AI315" i="4" s="1"/>
  <c r="Q315" i="4"/>
  <c r="AE315" i="4" s="1"/>
  <c r="T315" i="4"/>
  <c r="AH315" i="4" s="1"/>
  <c r="S315" i="4"/>
  <c r="AG315" i="4" s="1"/>
  <c r="R315" i="4"/>
  <c r="AF315" i="4" s="1"/>
  <c r="W318" i="4"/>
  <c r="V319" i="4"/>
  <c r="O317" i="4"/>
  <c r="P316" i="4"/>
  <c r="Q316" i="4" l="1"/>
  <c r="AE316" i="4" s="1"/>
  <c r="U316" i="4"/>
  <c r="AI316" i="4" s="1"/>
  <c r="T316" i="4"/>
  <c r="AH316" i="4" s="1"/>
  <c r="S316" i="4"/>
  <c r="AG316" i="4" s="1"/>
  <c r="R316" i="4"/>
  <c r="AF316" i="4" s="1"/>
  <c r="V320" i="4"/>
  <c r="W319" i="4"/>
  <c r="O318" i="4"/>
  <c r="P317" i="4"/>
  <c r="Q317" i="4" l="1"/>
  <c r="AE317" i="4" s="1"/>
  <c r="U317" i="4"/>
  <c r="AI317" i="4" s="1"/>
  <c r="T317" i="4"/>
  <c r="AH317" i="4" s="1"/>
  <c r="S317" i="4"/>
  <c r="AG317" i="4" s="1"/>
  <c r="R317" i="4"/>
  <c r="AF317" i="4" s="1"/>
  <c r="P318" i="4"/>
  <c r="O319" i="4"/>
  <c r="W320" i="4"/>
  <c r="V321" i="4"/>
  <c r="U318" i="4" l="1"/>
  <c r="AI318" i="4" s="1"/>
  <c r="Q318" i="4"/>
  <c r="AE318" i="4" s="1"/>
  <c r="T318" i="4"/>
  <c r="AH318" i="4" s="1"/>
  <c r="S318" i="4"/>
  <c r="AG318" i="4" s="1"/>
  <c r="R318" i="4"/>
  <c r="AF318" i="4" s="1"/>
  <c r="W321" i="4"/>
  <c r="V322" i="4"/>
  <c r="O320" i="4"/>
  <c r="P319" i="4"/>
  <c r="U319" i="4" l="1"/>
  <c r="AI319" i="4" s="1"/>
  <c r="Q319" i="4"/>
  <c r="AE319" i="4" s="1"/>
  <c r="R319" i="4"/>
  <c r="AF319" i="4" s="1"/>
  <c r="T319" i="4"/>
  <c r="AH319" i="4" s="1"/>
  <c r="S319" i="4"/>
  <c r="AG319" i="4" s="1"/>
  <c r="P320" i="4"/>
  <c r="O321" i="4"/>
  <c r="W322" i="4"/>
  <c r="V323" i="4"/>
  <c r="U320" i="4" l="1"/>
  <c r="AI320" i="4" s="1"/>
  <c r="Q320" i="4"/>
  <c r="AE320" i="4" s="1"/>
  <c r="T320" i="4"/>
  <c r="AH320" i="4" s="1"/>
  <c r="S320" i="4"/>
  <c r="AG320" i="4" s="1"/>
  <c r="R320" i="4"/>
  <c r="AF320" i="4" s="1"/>
  <c r="V324" i="4"/>
  <c r="W323" i="4"/>
  <c r="O322" i="4"/>
  <c r="P321" i="4"/>
  <c r="Q321" i="4" l="1"/>
  <c r="AE321" i="4" s="1"/>
  <c r="U321" i="4"/>
  <c r="AI321" i="4" s="1"/>
  <c r="T321" i="4"/>
  <c r="AH321" i="4" s="1"/>
  <c r="S321" i="4"/>
  <c r="AG321" i="4" s="1"/>
  <c r="R321" i="4"/>
  <c r="AF321" i="4" s="1"/>
  <c r="P322" i="4"/>
  <c r="O323" i="4"/>
  <c r="W324" i="4"/>
  <c r="V325" i="4"/>
  <c r="Q322" i="4" l="1"/>
  <c r="AE322" i="4" s="1"/>
  <c r="U322" i="4"/>
  <c r="AI322" i="4" s="1"/>
  <c r="S322" i="4"/>
  <c r="AG322" i="4" s="1"/>
  <c r="R322" i="4"/>
  <c r="AF322" i="4" s="1"/>
  <c r="T322" i="4"/>
  <c r="AH322" i="4" s="1"/>
  <c r="W325" i="4"/>
  <c r="V326" i="4"/>
  <c r="O324" i="4"/>
  <c r="P323" i="4"/>
  <c r="U323" i="4" l="1"/>
  <c r="AI323" i="4" s="1"/>
  <c r="Q323" i="4"/>
  <c r="AE323" i="4" s="1"/>
  <c r="T323" i="4"/>
  <c r="AH323" i="4" s="1"/>
  <c r="S323" i="4"/>
  <c r="AG323" i="4" s="1"/>
  <c r="R323" i="4"/>
  <c r="AF323" i="4" s="1"/>
  <c r="W326" i="4"/>
  <c r="V327" i="4"/>
  <c r="P324" i="4"/>
  <c r="O325" i="4"/>
  <c r="Q324" i="4" l="1"/>
  <c r="AE324" i="4" s="1"/>
  <c r="U324" i="4"/>
  <c r="AI324" i="4" s="1"/>
  <c r="T324" i="4"/>
  <c r="AH324" i="4" s="1"/>
  <c r="S324" i="4"/>
  <c r="AG324" i="4" s="1"/>
  <c r="R324" i="4"/>
  <c r="AF324" i="4" s="1"/>
  <c r="W327" i="4"/>
  <c r="V328" i="4"/>
  <c r="O326" i="4"/>
  <c r="P325" i="4"/>
  <c r="Q325" i="4" l="1"/>
  <c r="AE325" i="4" s="1"/>
  <c r="U325" i="4"/>
  <c r="AI325" i="4" s="1"/>
  <c r="T325" i="4"/>
  <c r="AH325" i="4" s="1"/>
  <c r="S325" i="4"/>
  <c r="AG325" i="4" s="1"/>
  <c r="R325" i="4"/>
  <c r="AF325" i="4" s="1"/>
  <c r="P326" i="4"/>
  <c r="O327" i="4"/>
  <c r="V329" i="4"/>
  <c r="W328" i="4"/>
  <c r="U326" i="4" l="1"/>
  <c r="AI326" i="4" s="1"/>
  <c r="Q326" i="4"/>
  <c r="AE326" i="4" s="1"/>
  <c r="T326" i="4"/>
  <c r="AH326" i="4" s="1"/>
  <c r="S326" i="4"/>
  <c r="AG326" i="4" s="1"/>
  <c r="R326" i="4"/>
  <c r="AF326" i="4" s="1"/>
  <c r="W329" i="4"/>
  <c r="V330" i="4"/>
  <c r="P327" i="4"/>
  <c r="O328" i="4"/>
  <c r="U327" i="4" l="1"/>
  <c r="AI327" i="4" s="1"/>
  <c r="Q327" i="4"/>
  <c r="AE327" i="4" s="1"/>
  <c r="R327" i="4"/>
  <c r="AF327" i="4" s="1"/>
  <c r="T327" i="4"/>
  <c r="AH327" i="4" s="1"/>
  <c r="S327" i="4"/>
  <c r="AG327" i="4" s="1"/>
  <c r="O329" i="4"/>
  <c r="P328" i="4"/>
  <c r="W330" i="4"/>
  <c r="V331" i="4"/>
  <c r="U328" i="4" l="1"/>
  <c r="AI328" i="4" s="1"/>
  <c r="Q328" i="4"/>
  <c r="AE328" i="4" s="1"/>
  <c r="T328" i="4"/>
  <c r="AH328" i="4" s="1"/>
  <c r="S328" i="4"/>
  <c r="AG328" i="4" s="1"/>
  <c r="R328" i="4"/>
  <c r="AF328" i="4" s="1"/>
  <c r="V332" i="4"/>
  <c r="W331" i="4"/>
  <c r="O330" i="4"/>
  <c r="P329" i="4"/>
  <c r="Q329" i="4" l="1"/>
  <c r="AE329" i="4" s="1"/>
  <c r="U329" i="4"/>
  <c r="AI329" i="4" s="1"/>
  <c r="T329" i="4"/>
  <c r="AH329" i="4" s="1"/>
  <c r="S329" i="4"/>
  <c r="AG329" i="4" s="1"/>
  <c r="R329" i="4"/>
  <c r="AF329" i="4" s="1"/>
  <c r="P330" i="4"/>
  <c r="O331" i="4"/>
  <c r="V333" i="4"/>
  <c r="W332" i="4"/>
  <c r="U330" i="4" l="1"/>
  <c r="AI330" i="4" s="1"/>
  <c r="Q330" i="4"/>
  <c r="AE330" i="4" s="1"/>
  <c r="S330" i="4"/>
  <c r="AG330" i="4" s="1"/>
  <c r="R330" i="4"/>
  <c r="AF330" i="4" s="1"/>
  <c r="T330" i="4"/>
  <c r="AH330" i="4" s="1"/>
  <c r="V334" i="4"/>
  <c r="W333" i="4"/>
  <c r="O332" i="4"/>
  <c r="P331" i="4"/>
  <c r="U331" i="4" l="1"/>
  <c r="AI331" i="4" s="1"/>
  <c r="AI332" i="4" s="1"/>
  <c r="Q331" i="4"/>
  <c r="AE331" i="4" s="1"/>
  <c r="AE332" i="4" s="1"/>
  <c r="T331" i="4"/>
  <c r="AH331" i="4" s="1"/>
  <c r="AH332" i="4" s="1"/>
  <c r="S331" i="4"/>
  <c r="AG331" i="4" s="1"/>
  <c r="AG332" i="4" s="1"/>
  <c r="R331" i="4"/>
  <c r="AF331" i="4" s="1"/>
  <c r="AF332" i="4" s="1"/>
  <c r="P332" i="4"/>
  <c r="O333" i="4"/>
  <c r="V335" i="4"/>
  <c r="W334" i="4"/>
  <c r="V336" i="4" l="1"/>
  <c r="W335" i="4"/>
  <c r="O334" i="4"/>
  <c r="P333" i="4"/>
  <c r="U333" i="4" l="1"/>
  <c r="AI333" i="4" s="1"/>
  <c r="R333" i="4"/>
  <c r="AF333" i="4" s="1"/>
  <c r="T333" i="4"/>
  <c r="AH333" i="4" s="1"/>
  <c r="S333" i="4"/>
  <c r="AG333" i="4" s="1"/>
  <c r="Q333" i="4"/>
  <c r="AE333" i="4" s="1"/>
  <c r="P334" i="4"/>
  <c r="O335" i="4"/>
  <c r="W336" i="4"/>
  <c r="V337" i="4"/>
  <c r="S334" i="4" l="1"/>
  <c r="AG334" i="4" s="1"/>
  <c r="T334" i="4"/>
  <c r="AH334" i="4" s="1"/>
  <c r="R334" i="4"/>
  <c r="AF334" i="4" s="1"/>
  <c r="U334" i="4"/>
  <c r="AI334" i="4" s="1"/>
  <c r="Q334" i="4"/>
  <c r="AE334" i="4" s="1"/>
  <c r="W337" i="4"/>
  <c r="V338" i="4"/>
  <c r="O336" i="4"/>
  <c r="P335" i="4"/>
  <c r="U335" i="4" l="1"/>
  <c r="AI335" i="4" s="1"/>
  <c r="R335" i="4"/>
  <c r="AF335" i="4" s="1"/>
  <c r="S335" i="4"/>
  <c r="AG335" i="4" s="1"/>
  <c r="Q335" i="4"/>
  <c r="AE335" i="4" s="1"/>
  <c r="T335" i="4"/>
  <c r="AH335" i="4" s="1"/>
  <c r="P336" i="4"/>
  <c r="O337" i="4"/>
  <c r="W338" i="4"/>
  <c r="V339" i="4"/>
  <c r="S336" i="4" l="1"/>
  <c r="AG336" i="4" s="1"/>
  <c r="T336" i="4"/>
  <c r="AH336" i="4" s="1"/>
  <c r="U336" i="4"/>
  <c r="AI336" i="4" s="1"/>
  <c r="R336" i="4"/>
  <c r="AF336" i="4" s="1"/>
  <c r="Q336" i="4"/>
  <c r="AE336" i="4" s="1"/>
  <c r="V340" i="4"/>
  <c r="W339" i="4"/>
  <c r="O338" i="4"/>
  <c r="P337" i="4"/>
  <c r="U337" i="4" l="1"/>
  <c r="AI337" i="4" s="1"/>
  <c r="Q337" i="4"/>
  <c r="AE337" i="4" s="1"/>
  <c r="T337" i="4"/>
  <c r="AH337" i="4" s="1"/>
  <c r="S337" i="4"/>
  <c r="AG337" i="4" s="1"/>
  <c r="R337" i="4"/>
  <c r="AF337" i="4" s="1"/>
  <c r="O339" i="4"/>
  <c r="P338" i="4"/>
  <c r="V341" i="4"/>
  <c r="W340" i="4"/>
  <c r="Q338" i="4" l="1"/>
  <c r="AE338" i="4" s="1"/>
  <c r="U338" i="4"/>
  <c r="AI338" i="4" s="1"/>
  <c r="T338" i="4"/>
  <c r="AH338" i="4" s="1"/>
  <c r="S338" i="4"/>
  <c r="AG338" i="4" s="1"/>
  <c r="R338" i="4"/>
  <c r="AF338" i="4" s="1"/>
  <c r="W341" i="4"/>
  <c r="V342" i="4"/>
  <c r="O340" i="4"/>
  <c r="P339" i="4"/>
  <c r="Q339" i="4" l="1"/>
  <c r="AE339" i="4" s="1"/>
  <c r="U339" i="4"/>
  <c r="AI339" i="4" s="1"/>
  <c r="S339" i="4"/>
  <c r="AG339" i="4" s="1"/>
  <c r="R339" i="4"/>
  <c r="AF339" i="4" s="1"/>
  <c r="T339" i="4"/>
  <c r="AH339" i="4" s="1"/>
  <c r="O341" i="4"/>
  <c r="P340" i="4"/>
  <c r="W342" i="4"/>
  <c r="V343" i="4"/>
  <c r="U340" i="4" l="1"/>
  <c r="AI340" i="4" s="1"/>
  <c r="Q340" i="4"/>
  <c r="AE340" i="4" s="1"/>
  <c r="T340" i="4"/>
  <c r="AH340" i="4" s="1"/>
  <c r="S340" i="4"/>
  <c r="AG340" i="4" s="1"/>
  <c r="R340" i="4"/>
  <c r="AF340" i="4" s="1"/>
  <c r="V344" i="4"/>
  <c r="W343" i="4"/>
  <c r="O342" i="4"/>
  <c r="P341" i="4"/>
  <c r="Q341" i="4" l="1"/>
  <c r="AE341" i="4" s="1"/>
  <c r="U341" i="4"/>
  <c r="AI341" i="4" s="1"/>
  <c r="T341" i="4"/>
  <c r="AH341" i="4" s="1"/>
  <c r="S341" i="4"/>
  <c r="AG341" i="4" s="1"/>
  <c r="R341" i="4"/>
  <c r="AF341" i="4" s="1"/>
  <c r="O343" i="4"/>
  <c r="P342" i="4"/>
  <c r="W344" i="4"/>
  <c r="V345" i="4"/>
  <c r="U342" i="4" l="1"/>
  <c r="AI342" i="4" s="1"/>
  <c r="T342" i="4"/>
  <c r="AH342" i="4" s="1"/>
  <c r="Q342" i="4"/>
  <c r="AE342" i="4" s="1"/>
  <c r="S342" i="4"/>
  <c r="AG342" i="4" s="1"/>
  <c r="R342" i="4"/>
  <c r="AF342" i="4" s="1"/>
  <c r="W345" i="4"/>
  <c r="V346" i="4"/>
  <c r="O344" i="4"/>
  <c r="P343" i="4"/>
  <c r="T343" i="4" l="1"/>
  <c r="AH343" i="4" s="1"/>
  <c r="U343" i="4"/>
  <c r="AI343" i="4" s="1"/>
  <c r="Q343" i="4"/>
  <c r="AE343" i="4" s="1"/>
  <c r="S343" i="4"/>
  <c r="AG343" i="4" s="1"/>
  <c r="R343" i="4"/>
  <c r="AF343" i="4" s="1"/>
  <c r="O345" i="4"/>
  <c r="P344" i="4"/>
  <c r="W346" i="4"/>
  <c r="V347" i="4"/>
  <c r="T344" i="4" l="1"/>
  <c r="AH344" i="4" s="1"/>
  <c r="U344" i="4"/>
  <c r="AI344" i="4" s="1"/>
  <c r="Q344" i="4"/>
  <c r="AE344" i="4" s="1"/>
  <c r="S344" i="4"/>
  <c r="AG344" i="4" s="1"/>
  <c r="R344" i="4"/>
  <c r="AF344" i="4" s="1"/>
  <c r="V348" i="4"/>
  <c r="W347" i="4"/>
  <c r="O346" i="4"/>
  <c r="P345" i="4"/>
  <c r="U345" i="4" l="1"/>
  <c r="AI345" i="4" s="1"/>
  <c r="T345" i="4"/>
  <c r="AH345" i="4" s="1"/>
  <c r="Q345" i="4"/>
  <c r="AE345" i="4" s="1"/>
  <c r="S345" i="4"/>
  <c r="AG345" i="4" s="1"/>
  <c r="R345" i="4"/>
  <c r="AF345" i="4" s="1"/>
  <c r="O347" i="4"/>
  <c r="P346" i="4"/>
  <c r="W348" i="4"/>
  <c r="V349" i="4"/>
  <c r="U346" i="4" l="1"/>
  <c r="AI346" i="4" s="1"/>
  <c r="AI347" i="4" s="1"/>
  <c r="AI348" i="4" s="1"/>
  <c r="AI349" i="4" s="1"/>
  <c r="AI350" i="4" s="1"/>
  <c r="AI351" i="4" s="1"/>
  <c r="AI352" i="4" s="1"/>
  <c r="AI353" i="4" s="1"/>
  <c r="AI354" i="4" s="1"/>
  <c r="AI355" i="4" s="1"/>
  <c r="AI356" i="4" s="1"/>
  <c r="AI357" i="4" s="1"/>
  <c r="AI358" i="4" s="1"/>
  <c r="AI359" i="4" s="1"/>
  <c r="AI360" i="4" s="1"/>
  <c r="AI361" i="4" s="1"/>
  <c r="AI362" i="4" s="1"/>
  <c r="AI363" i="4" s="1"/>
  <c r="AI364" i="4" s="1"/>
  <c r="AI365" i="4" s="1"/>
  <c r="AI366" i="4" s="1"/>
  <c r="AI367" i="4" s="1"/>
  <c r="AI368" i="4" s="1"/>
  <c r="AI369" i="4" s="1"/>
  <c r="AI370" i="4" s="1"/>
  <c r="AI371" i="4" s="1"/>
  <c r="AI372" i="4" s="1"/>
  <c r="AI373" i="4" s="1"/>
  <c r="AI374" i="4" s="1"/>
  <c r="AI375" i="4" s="1"/>
  <c r="AI376" i="4" s="1"/>
  <c r="AI377" i="4" s="1"/>
  <c r="AI378" i="4" s="1"/>
  <c r="AI379" i="4" s="1"/>
  <c r="AI380" i="4" s="1"/>
  <c r="AI381" i="4" s="1"/>
  <c r="AI382" i="4" s="1"/>
  <c r="AI383" i="4" s="1"/>
  <c r="AI384" i="4" s="1"/>
  <c r="AI385" i="4" s="1"/>
  <c r="AI386" i="4" s="1"/>
  <c r="AI387" i="4" s="1"/>
  <c r="AI388" i="4" s="1"/>
  <c r="AI389" i="4" s="1"/>
  <c r="AI390" i="4" s="1"/>
  <c r="AI391" i="4" s="1"/>
  <c r="AI392" i="4" s="1"/>
  <c r="AI393" i="4" s="1"/>
  <c r="AI394" i="4" s="1"/>
  <c r="AI395" i="4" s="1"/>
  <c r="AI396" i="4" s="1"/>
  <c r="AI397" i="4" s="1"/>
  <c r="AI398" i="4" s="1"/>
  <c r="AI399" i="4" s="1"/>
  <c r="T346" i="4"/>
  <c r="AH346" i="4" s="1"/>
  <c r="AH347" i="4" s="1"/>
  <c r="AH348" i="4" s="1"/>
  <c r="AH349" i="4" s="1"/>
  <c r="AH350" i="4" s="1"/>
  <c r="AH351" i="4" s="1"/>
  <c r="AH352" i="4" s="1"/>
  <c r="AH353" i="4" s="1"/>
  <c r="AH354" i="4" s="1"/>
  <c r="AH355" i="4" s="1"/>
  <c r="AH356" i="4" s="1"/>
  <c r="AH357" i="4" s="1"/>
  <c r="AH358" i="4" s="1"/>
  <c r="AH359" i="4" s="1"/>
  <c r="AH360" i="4" s="1"/>
  <c r="AH361" i="4" s="1"/>
  <c r="AH362" i="4" s="1"/>
  <c r="AH363" i="4" s="1"/>
  <c r="AH364" i="4" s="1"/>
  <c r="AH365" i="4" s="1"/>
  <c r="AH366" i="4" s="1"/>
  <c r="AH367" i="4" s="1"/>
  <c r="AH368" i="4" s="1"/>
  <c r="AH369" i="4" s="1"/>
  <c r="AH370" i="4" s="1"/>
  <c r="AH371" i="4" s="1"/>
  <c r="AH372" i="4" s="1"/>
  <c r="AH373" i="4" s="1"/>
  <c r="AH374" i="4" s="1"/>
  <c r="AH375" i="4" s="1"/>
  <c r="AH376" i="4" s="1"/>
  <c r="AH377" i="4" s="1"/>
  <c r="AH378" i="4" s="1"/>
  <c r="AH379" i="4" s="1"/>
  <c r="AH380" i="4" s="1"/>
  <c r="AH381" i="4" s="1"/>
  <c r="AH382" i="4" s="1"/>
  <c r="AH383" i="4" s="1"/>
  <c r="AH384" i="4" s="1"/>
  <c r="AH385" i="4" s="1"/>
  <c r="AH386" i="4" s="1"/>
  <c r="AH387" i="4" s="1"/>
  <c r="AH388" i="4" s="1"/>
  <c r="AH389" i="4" s="1"/>
  <c r="AH390" i="4" s="1"/>
  <c r="AH391" i="4" s="1"/>
  <c r="AH392" i="4" s="1"/>
  <c r="AH393" i="4" s="1"/>
  <c r="AH394" i="4" s="1"/>
  <c r="AH395" i="4" s="1"/>
  <c r="AH396" i="4" s="1"/>
  <c r="AH397" i="4" s="1"/>
  <c r="AH398" i="4" s="1"/>
  <c r="AH399" i="4" s="1"/>
  <c r="Q346" i="4"/>
  <c r="AE346" i="4" s="1"/>
  <c r="S346" i="4"/>
  <c r="AG346" i="4" s="1"/>
  <c r="AG347" i="4" s="1"/>
  <c r="AG348" i="4" s="1"/>
  <c r="AG349" i="4" s="1"/>
  <c r="AG350" i="4" s="1"/>
  <c r="AG351" i="4" s="1"/>
  <c r="AG352" i="4" s="1"/>
  <c r="AG353" i="4" s="1"/>
  <c r="AG354" i="4" s="1"/>
  <c r="AG355" i="4" s="1"/>
  <c r="AG356" i="4" s="1"/>
  <c r="AG357" i="4" s="1"/>
  <c r="AG358" i="4" s="1"/>
  <c r="AG359" i="4" s="1"/>
  <c r="AG360" i="4" s="1"/>
  <c r="AG361" i="4" s="1"/>
  <c r="AG362" i="4" s="1"/>
  <c r="AG363" i="4" s="1"/>
  <c r="AG364" i="4" s="1"/>
  <c r="AG365" i="4" s="1"/>
  <c r="AG366" i="4" s="1"/>
  <c r="AG367" i="4" s="1"/>
  <c r="AG368" i="4" s="1"/>
  <c r="AG369" i="4" s="1"/>
  <c r="AG370" i="4" s="1"/>
  <c r="AG371" i="4" s="1"/>
  <c r="AG372" i="4" s="1"/>
  <c r="AG373" i="4" s="1"/>
  <c r="AG374" i="4" s="1"/>
  <c r="AG375" i="4" s="1"/>
  <c r="AG376" i="4" s="1"/>
  <c r="AG377" i="4" s="1"/>
  <c r="AG378" i="4" s="1"/>
  <c r="AG379" i="4" s="1"/>
  <c r="AG380" i="4" s="1"/>
  <c r="AG381" i="4" s="1"/>
  <c r="AG382" i="4" s="1"/>
  <c r="AG383" i="4" s="1"/>
  <c r="AG384" i="4" s="1"/>
  <c r="AG385" i="4" s="1"/>
  <c r="AG386" i="4" s="1"/>
  <c r="AG387" i="4" s="1"/>
  <c r="AG388" i="4" s="1"/>
  <c r="AG389" i="4" s="1"/>
  <c r="AG390" i="4" s="1"/>
  <c r="AG391" i="4" s="1"/>
  <c r="AG392" i="4" s="1"/>
  <c r="AG393" i="4" s="1"/>
  <c r="AG394" i="4" s="1"/>
  <c r="AG395" i="4" s="1"/>
  <c r="AG396" i="4" s="1"/>
  <c r="AG397" i="4" s="1"/>
  <c r="AG398" i="4" s="1"/>
  <c r="AG399" i="4" s="1"/>
  <c r="R346" i="4"/>
  <c r="AF346" i="4" s="1"/>
  <c r="W349" i="4"/>
  <c r="V350" i="4"/>
  <c r="O348" i="4"/>
  <c r="P347" i="4"/>
  <c r="Q347" i="4" s="1"/>
  <c r="AE347" i="4" l="1"/>
  <c r="R347" i="4"/>
  <c r="AF347" i="4" s="1"/>
  <c r="O349" i="4"/>
  <c r="P348" i="4"/>
  <c r="Q348" i="4" s="1"/>
  <c r="AE348" i="4" s="1"/>
  <c r="W350" i="4"/>
  <c r="V351" i="4"/>
  <c r="R348" i="4" l="1"/>
  <c r="AF348" i="4" s="1"/>
  <c r="V352" i="4"/>
  <c r="W351" i="4"/>
  <c r="O350" i="4"/>
  <c r="P349" i="4"/>
  <c r="Q349" i="4" s="1"/>
  <c r="AE349" i="4" s="1"/>
  <c r="R349" i="4" l="1"/>
  <c r="AF349" i="4" s="1"/>
  <c r="O351" i="4"/>
  <c r="P350" i="4"/>
  <c r="W352" i="4"/>
  <c r="V353" i="4"/>
  <c r="Q350" i="4" l="1"/>
  <c r="AE350" i="4" s="1"/>
  <c r="R350" i="4"/>
  <c r="AF350" i="4" s="1"/>
  <c r="V354" i="4"/>
  <c r="W353" i="4"/>
  <c r="O352" i="4"/>
  <c r="P351" i="4"/>
  <c r="Q351" i="4" l="1"/>
  <c r="AE351" i="4" s="1"/>
  <c r="R351" i="4"/>
  <c r="AF351" i="4" s="1"/>
  <c r="O353" i="4"/>
  <c r="P352" i="4"/>
  <c r="W354" i="4"/>
  <c r="V355" i="4"/>
  <c r="Q352" i="4" l="1"/>
  <c r="AE352" i="4" s="1"/>
  <c r="R352" i="4"/>
  <c r="AF352" i="4" s="1"/>
  <c r="V356" i="4"/>
  <c r="W355" i="4"/>
  <c r="O354" i="4"/>
  <c r="P353" i="4"/>
  <c r="R353" i="4" l="1"/>
  <c r="AF353" i="4" s="1"/>
  <c r="Q353" i="4"/>
  <c r="AE353" i="4" s="1"/>
  <c r="O355" i="4"/>
  <c r="P354" i="4"/>
  <c r="W356" i="4"/>
  <c r="V357" i="4"/>
  <c r="R354" i="4" l="1"/>
  <c r="AF354" i="4" s="1"/>
  <c r="Q354" i="4"/>
  <c r="AE354" i="4" s="1"/>
  <c r="V358" i="4"/>
  <c r="W357" i="4"/>
  <c r="O356" i="4"/>
  <c r="P355" i="4"/>
  <c r="Q355" i="4" l="1"/>
  <c r="AE355" i="4" s="1"/>
  <c r="R355" i="4"/>
  <c r="AF355" i="4" s="1"/>
  <c r="O357" i="4"/>
  <c r="P356" i="4"/>
  <c r="W358" i="4"/>
  <c r="V359" i="4"/>
  <c r="Q356" i="4" l="1"/>
  <c r="Q400" i="4" s="1"/>
  <c r="R356" i="4"/>
  <c r="AF356" i="4" s="1"/>
  <c r="AF357" i="4" s="1"/>
  <c r="AF358" i="4" s="1"/>
  <c r="AF359" i="4" s="1"/>
  <c r="AF360" i="4" s="1"/>
  <c r="AF361" i="4" s="1"/>
  <c r="AF362" i="4" s="1"/>
  <c r="AF363" i="4" s="1"/>
  <c r="AF364" i="4" s="1"/>
  <c r="AF365" i="4" s="1"/>
  <c r="AF366" i="4" s="1"/>
  <c r="AF367" i="4" s="1"/>
  <c r="AF368" i="4" s="1"/>
  <c r="AF369" i="4" s="1"/>
  <c r="AF370" i="4" s="1"/>
  <c r="AF371" i="4" s="1"/>
  <c r="AF372" i="4" s="1"/>
  <c r="AF373" i="4" s="1"/>
  <c r="AF374" i="4" s="1"/>
  <c r="AF375" i="4" s="1"/>
  <c r="AF376" i="4" s="1"/>
  <c r="AF377" i="4" s="1"/>
  <c r="AF378" i="4" s="1"/>
  <c r="AF379" i="4" s="1"/>
  <c r="AF380" i="4" s="1"/>
  <c r="AF381" i="4" s="1"/>
  <c r="AF382" i="4" s="1"/>
  <c r="AF383" i="4" s="1"/>
  <c r="AF384" i="4" s="1"/>
  <c r="AF385" i="4" s="1"/>
  <c r="AF386" i="4" s="1"/>
  <c r="AF387" i="4" s="1"/>
  <c r="AF388" i="4" s="1"/>
  <c r="AF389" i="4" s="1"/>
  <c r="AF390" i="4" s="1"/>
  <c r="AF391" i="4" s="1"/>
  <c r="AF392" i="4" s="1"/>
  <c r="AF393" i="4" s="1"/>
  <c r="AF394" i="4" s="1"/>
  <c r="AF395" i="4" s="1"/>
  <c r="AF396" i="4" s="1"/>
  <c r="AF397" i="4" s="1"/>
  <c r="AF398" i="4" s="1"/>
  <c r="AF399" i="4" s="1"/>
  <c r="V360" i="4"/>
  <c r="W359" i="4"/>
  <c r="O358" i="4"/>
  <c r="P357" i="4"/>
  <c r="AE356" i="4" l="1"/>
  <c r="AE357" i="4" s="1"/>
  <c r="AE358" i="4" s="1"/>
  <c r="AE359" i="4" s="1"/>
  <c r="AE360" i="4" s="1"/>
  <c r="AE361" i="4" s="1"/>
  <c r="AE362" i="4" s="1"/>
  <c r="AE363" i="4" s="1"/>
  <c r="AE364" i="4" s="1"/>
  <c r="AE365" i="4" s="1"/>
  <c r="AE366" i="4" s="1"/>
  <c r="AE367" i="4" s="1"/>
  <c r="AE368" i="4" s="1"/>
  <c r="AE369" i="4" s="1"/>
  <c r="AE370" i="4" s="1"/>
  <c r="AE371" i="4" s="1"/>
  <c r="AE372" i="4" s="1"/>
  <c r="AE373" i="4" s="1"/>
  <c r="AE374" i="4" s="1"/>
  <c r="AE375" i="4" s="1"/>
  <c r="AE376" i="4" s="1"/>
  <c r="AE377" i="4" s="1"/>
  <c r="AE378" i="4" s="1"/>
  <c r="AE379" i="4" s="1"/>
  <c r="AE380" i="4" s="1"/>
  <c r="AE381" i="4" s="1"/>
  <c r="AE382" i="4" s="1"/>
  <c r="AE383" i="4" s="1"/>
  <c r="AE384" i="4" s="1"/>
  <c r="AE385" i="4" s="1"/>
  <c r="AE386" i="4" s="1"/>
  <c r="AE387" i="4" s="1"/>
  <c r="AE388" i="4" s="1"/>
  <c r="AE389" i="4" s="1"/>
  <c r="AE390" i="4" s="1"/>
  <c r="AE391" i="4" s="1"/>
  <c r="AE392" i="4" s="1"/>
  <c r="AE393" i="4" s="1"/>
  <c r="AE394" i="4" s="1"/>
  <c r="AE395" i="4" s="1"/>
  <c r="AE396" i="4" s="1"/>
  <c r="AE397" i="4" s="1"/>
  <c r="AE398" i="4" s="1"/>
  <c r="AE399" i="4" s="1"/>
  <c r="O359" i="4"/>
  <c r="P358" i="4"/>
  <c r="W360" i="4"/>
  <c r="V361" i="4"/>
  <c r="V362" i="4" l="1"/>
  <c r="W361" i="4"/>
  <c r="O360" i="4"/>
  <c r="P359" i="4"/>
  <c r="O361" i="4" l="1"/>
  <c r="P360" i="4"/>
  <c r="V363" i="4"/>
  <c r="W362" i="4"/>
  <c r="V364" i="4" l="1"/>
  <c r="W363" i="4"/>
  <c r="O362" i="4"/>
  <c r="P361" i="4"/>
  <c r="O363" i="4" l="1"/>
  <c r="P362" i="4"/>
  <c r="W364" i="4"/>
  <c r="V365" i="4"/>
  <c r="V366" i="4" l="1"/>
  <c r="W365" i="4"/>
  <c r="O364" i="4"/>
  <c r="P363" i="4"/>
  <c r="O365" i="4" l="1"/>
  <c r="P364" i="4"/>
  <c r="W366" i="4"/>
  <c r="V367" i="4"/>
  <c r="W367" i="4" l="1"/>
  <c r="V368" i="4"/>
  <c r="O366" i="4"/>
  <c r="P365" i="4"/>
  <c r="P366" i="4" l="1"/>
  <c r="O367" i="4"/>
  <c r="W368" i="4"/>
  <c r="V369" i="4"/>
  <c r="V370" i="4" l="1"/>
  <c r="W369" i="4"/>
  <c r="P367" i="4"/>
  <c r="O368" i="4"/>
  <c r="P368" i="4" l="1"/>
  <c r="O369" i="4"/>
  <c r="W370" i="4"/>
  <c r="V371" i="4"/>
  <c r="V372" i="4" l="1"/>
  <c r="W371" i="4"/>
  <c r="O370" i="4"/>
  <c r="P369" i="4"/>
  <c r="O371" i="4" l="1"/>
  <c r="P370" i="4"/>
  <c r="W372" i="4"/>
  <c r="V373" i="4"/>
  <c r="V374" i="4" l="1"/>
  <c r="W373" i="4"/>
  <c r="O372" i="4"/>
  <c r="P371" i="4"/>
  <c r="P372" i="4" l="1"/>
  <c r="O373" i="4"/>
  <c r="W374" i="4"/>
  <c r="V375" i="4"/>
  <c r="V376" i="4" l="1"/>
  <c r="W375" i="4"/>
  <c r="O374" i="4"/>
  <c r="P373" i="4"/>
  <c r="P374" i="4" l="1"/>
  <c r="O375" i="4"/>
  <c r="W376" i="4"/>
  <c r="V377" i="4"/>
  <c r="P375" i="4" l="1"/>
  <c r="O376" i="4"/>
  <c r="V378" i="4"/>
  <c r="W377" i="4"/>
  <c r="P376" i="4" l="1"/>
  <c r="O377" i="4"/>
  <c r="W378" i="4"/>
  <c r="V379" i="4"/>
  <c r="W379" i="4" l="1"/>
  <c r="V380" i="4"/>
  <c r="O378" i="4"/>
  <c r="P377" i="4"/>
  <c r="P378" i="4" l="1"/>
  <c r="O379" i="4"/>
  <c r="V381" i="4"/>
  <c r="W380" i="4"/>
  <c r="W381" i="4" l="1"/>
  <c r="V382" i="4"/>
  <c r="P379" i="4"/>
  <c r="O380" i="4"/>
  <c r="O381" i="4" l="1"/>
  <c r="P380" i="4"/>
  <c r="V383" i="4"/>
  <c r="W382" i="4"/>
  <c r="W383" i="4" l="1"/>
  <c r="V384" i="4"/>
  <c r="P381" i="4"/>
  <c r="O382" i="4"/>
  <c r="O383" i="4" l="1"/>
  <c r="P382" i="4"/>
  <c r="V385" i="4"/>
  <c r="W384" i="4"/>
  <c r="W385" i="4" l="1"/>
  <c r="V386" i="4"/>
  <c r="P383" i="4"/>
  <c r="O384" i="4"/>
  <c r="O385" i="4" l="1"/>
  <c r="P384" i="4"/>
  <c r="V387" i="4"/>
  <c r="W386" i="4"/>
  <c r="W387" i="4" l="1"/>
  <c r="V388" i="4"/>
  <c r="P385" i="4"/>
  <c r="O386" i="4"/>
  <c r="P386" i="4" l="1"/>
  <c r="O387" i="4"/>
  <c r="V389" i="4"/>
  <c r="W388" i="4"/>
  <c r="W389" i="4" l="1"/>
  <c r="V390" i="4"/>
  <c r="P387" i="4"/>
  <c r="O388" i="4"/>
  <c r="V391" i="4" l="1"/>
  <c r="W390" i="4"/>
  <c r="P388" i="4"/>
  <c r="O389" i="4"/>
  <c r="P389" i="4" l="1"/>
  <c r="O390" i="4"/>
  <c r="W391" i="4"/>
  <c r="V392" i="4"/>
  <c r="O391" i="4" l="1"/>
  <c r="P390" i="4"/>
  <c r="V393" i="4"/>
  <c r="W392" i="4"/>
  <c r="W393" i="4" l="1"/>
  <c r="V394" i="4"/>
  <c r="P391" i="4"/>
  <c r="O392" i="4"/>
  <c r="O393" i="4" l="1"/>
  <c r="P392" i="4"/>
  <c r="W394" i="4"/>
  <c r="V395" i="4"/>
  <c r="V396" i="4" l="1"/>
  <c r="W395" i="4"/>
  <c r="P393" i="4"/>
  <c r="O394" i="4"/>
  <c r="P394" i="4" l="1"/>
  <c r="O395" i="4"/>
  <c r="W396" i="4"/>
  <c r="V397" i="4"/>
  <c r="V398" i="4" l="1"/>
  <c r="W398" i="4" s="1"/>
  <c r="W397" i="4"/>
  <c r="O396" i="4"/>
  <c r="P395" i="4"/>
  <c r="P396" i="4" l="1"/>
  <c r="O397" i="4"/>
  <c r="P397" i="4" l="1"/>
  <c r="O398" i="4"/>
  <c r="P398" i="4" s="1"/>
  <c r="U400" i="4" l="1"/>
  <c r="T400" i="4"/>
  <c r="S400" i="4"/>
  <c r="R400" i="4"/>
</calcChain>
</file>

<file path=xl/sharedStrings.xml><?xml version="1.0" encoding="utf-8"?>
<sst xmlns="http://schemas.openxmlformats.org/spreadsheetml/2006/main" count="1479" uniqueCount="478">
  <si>
    <t>School/Department</t>
  </si>
  <si>
    <t>Date</t>
  </si>
  <si>
    <t>Calendar</t>
  </si>
  <si>
    <t>Position</t>
  </si>
  <si>
    <t>FTE</t>
  </si>
  <si>
    <t>S</t>
  </si>
  <si>
    <t>M</t>
  </si>
  <si>
    <t>T</t>
  </si>
  <si>
    <t>W</t>
  </si>
  <si>
    <t>F</t>
  </si>
  <si>
    <t>Total</t>
  </si>
  <si>
    <t>C</t>
  </si>
  <si>
    <t>PTC</t>
  </si>
  <si>
    <t>A</t>
  </si>
  <si>
    <t>Codes for Completing Calendar</t>
  </si>
  <si>
    <t>Conference Dates:</t>
  </si>
  <si>
    <t>Teacher Contract Days:</t>
  </si>
  <si>
    <t>Calendar Summary:</t>
  </si>
  <si>
    <t>Enter the following code on the appropriate line:</t>
  </si>
  <si>
    <t>(PTC)</t>
  </si>
  <si>
    <t>(.5)</t>
  </si>
  <si>
    <t>Student Days</t>
  </si>
  <si>
    <t>PTC Days</t>
  </si>
  <si>
    <t>Prep. Days</t>
  </si>
  <si>
    <t>**Prof Dev Day</t>
  </si>
  <si>
    <t>Additional Days</t>
  </si>
  <si>
    <t>(PTC)</t>
    <phoneticPr fontId="0"/>
  </si>
  <si>
    <t>Time Sheet</t>
  </si>
  <si>
    <t>Check-Out Day</t>
  </si>
  <si>
    <t>Total Contract</t>
  </si>
  <si>
    <t>Employee Signature</t>
  </si>
  <si>
    <t>Principal/Director Signature</t>
  </si>
  <si>
    <t>Calendars can be revised up to 2 times during a contract year.  All changes must be PRE-APPROVED by the principal/director and submitted to HR.</t>
  </si>
  <si>
    <t>o</t>
  </si>
  <si>
    <r>
      <t>Parent-Teacher Conference Dates</t>
    </r>
    <r>
      <rPr>
        <sz val="12"/>
        <color theme="1"/>
        <rFont val="Calibri"/>
        <family val="2"/>
        <scheme val="minor"/>
      </rPr>
      <t xml:space="preserve"> </t>
    </r>
    <r>
      <rPr>
        <i/>
        <sz val="10"/>
        <color theme="1"/>
        <rFont val="Calibri"/>
        <family val="2"/>
        <scheme val="minor"/>
      </rPr>
      <t>(Highlighted in orange on calendar)</t>
    </r>
  </si>
  <si>
    <t>Key</t>
  </si>
  <si>
    <t>* Teachers working on a Special Calendar who have not submitted an approved calendar prior to the first day worked will be placed at entry level pay, pending HR approval.</t>
  </si>
  <si>
    <t>Up to four Parent-Teacher Conference (PTC) days may be included in the contract day total.  These days must be marked under both C and P rows.  The (PTC) day listed on the P row is equal to 4 hours. The dates must be listed on page two in the appropriate section at the bottom of the page.  Any additional PTC dates worked must be approved and paid for by the Principal and submitted on a time sheet.  Note to Principal:  May not be paid from budget 0050.</t>
  </si>
  <si>
    <t>Days Left in Contract</t>
  </si>
  <si>
    <t>Revision 1</t>
  </si>
  <si>
    <t>Final Revision</t>
  </si>
  <si>
    <t>R</t>
  </si>
  <si>
    <t xml:space="preserve">8) </t>
  </si>
  <si>
    <t>First Year</t>
  </si>
  <si>
    <t>Last Year</t>
  </si>
  <si>
    <t>Offsets</t>
  </si>
  <si>
    <t>School Year</t>
  </si>
  <si>
    <t>Begins</t>
  </si>
  <si>
    <t>Ends</t>
  </si>
  <si>
    <t>2019-2020</t>
  </si>
  <si>
    <t>2020-2021</t>
  </si>
  <si>
    <t>2021-2022</t>
  </si>
  <si>
    <t>2022-2023</t>
  </si>
  <si>
    <t>2023-2024</t>
  </si>
  <si>
    <t>2024-2025</t>
  </si>
  <si>
    <t>2025-2026</t>
  </si>
  <si>
    <t>2026-2027</t>
  </si>
  <si>
    <t>2027-2028</t>
  </si>
  <si>
    <t>2028-2029</t>
  </si>
  <si>
    <t>2029-2030</t>
  </si>
  <si>
    <t>2030-2031</t>
  </si>
  <si>
    <t>School Year:</t>
  </si>
  <si>
    <t>Original</t>
  </si>
  <si>
    <t>*Handwritten forms/changes will not be accepted by Human Resources</t>
  </si>
  <si>
    <t>Original completed calendar must be completed electronically*, printed, and signed by Employee and Administrator before submitting to Human Resources.</t>
  </si>
  <si>
    <t>Due Date</t>
  </si>
  <si>
    <t>Elem:</t>
  </si>
  <si>
    <t>hrs</t>
  </si>
  <si>
    <t>Hr</t>
  </si>
  <si>
    <t>Mins</t>
  </si>
  <si>
    <r>
      <t xml:space="preserve">Additional PTC days should </t>
    </r>
    <r>
      <rPr>
        <b/>
        <i/>
        <sz val="9"/>
        <rFont val="Calibri"/>
        <family val="2"/>
        <scheme val="minor"/>
      </rPr>
      <t>NOT</t>
    </r>
    <r>
      <rPr>
        <i/>
        <sz val="9"/>
        <rFont val="Calibri"/>
        <family val="2"/>
        <scheme val="minor"/>
      </rPr>
      <t xml:space="preserve"> be marked on the calendar, but the dates should be completed above. Staff may attend fewer PTC's during the year or trade time should be arranged with your building principal for those dates.</t>
    </r>
  </si>
  <si>
    <r>
      <t>4 PTC days should be indicated on the calendar with a "</t>
    </r>
    <r>
      <rPr>
        <b/>
        <i/>
        <sz val="11"/>
        <rFont val="Calibri"/>
        <family val="2"/>
        <scheme val="minor"/>
      </rPr>
      <t>P</t>
    </r>
    <r>
      <rPr>
        <i/>
        <sz val="11"/>
        <rFont val="Calibri"/>
        <family val="2"/>
        <scheme val="minor"/>
      </rPr>
      <t xml:space="preserve">" in addition to the C, X, or A. </t>
    </r>
  </si>
  <si>
    <t>A= Additional Days</t>
  </si>
  <si>
    <t>O= New Teacher Orientation (NTO)</t>
  </si>
  <si>
    <t>C= Contract Days (Student Days/Prep/Check-Out)</t>
  </si>
  <si>
    <t>Human Resource Usage Only:</t>
  </si>
  <si>
    <t xml:space="preserve">__ Contract days balance        </t>
  </si>
  <si>
    <t>__ Calendar type updated</t>
  </si>
  <si>
    <t>___ Skyward assignment matches</t>
  </si>
  <si>
    <t>___ Notes</t>
  </si>
  <si>
    <t>Days</t>
  </si>
  <si>
    <t>Day Of Week</t>
  </si>
  <si>
    <t>Non Contract</t>
  </si>
  <si>
    <t>Holiday</t>
  </si>
  <si>
    <t>P</t>
  </si>
  <si>
    <r>
      <rPr>
        <sz val="11"/>
        <rFont val="Calibri"/>
        <family val="2"/>
        <scheme val="minor"/>
      </rPr>
      <t>P =</t>
    </r>
    <r>
      <rPr>
        <b/>
        <sz val="11"/>
        <rFont val="Calibri"/>
        <family val="2"/>
        <scheme val="minor"/>
      </rPr>
      <t xml:space="preserve">  </t>
    </r>
    <r>
      <rPr>
        <sz val="11"/>
        <rFont val="Calibri"/>
        <family val="2"/>
        <scheme val="minor"/>
      </rPr>
      <t>Parent Teacher Conferences (PTC)</t>
    </r>
  </si>
  <si>
    <r>
      <t xml:space="preserve">*This number should be </t>
    </r>
    <r>
      <rPr>
        <b/>
        <sz val="11"/>
        <rFont val="Calibri"/>
        <family val="2"/>
        <scheme val="minor"/>
      </rPr>
      <t>BLACK</t>
    </r>
    <r>
      <rPr>
        <sz val="11"/>
        <rFont val="Calibri"/>
        <family val="2"/>
        <scheme val="minor"/>
      </rPr>
      <t xml:space="preserve"> if calendar is completed correctly!</t>
    </r>
  </si>
  <si>
    <t>Non Contract Day</t>
  </si>
  <si>
    <t>PD</t>
  </si>
  <si>
    <r>
      <rPr>
        <b/>
        <i/>
        <sz val="9"/>
        <rFont val="Calibri"/>
        <family val="2"/>
        <scheme val="minor"/>
      </rPr>
      <t xml:space="preserve">Leave Day Equivalents </t>
    </r>
    <r>
      <rPr>
        <b/>
        <i/>
        <sz val="10"/>
        <rFont val="Calibri"/>
        <family val="2"/>
        <scheme val="minor"/>
      </rPr>
      <t>(</t>
    </r>
    <r>
      <rPr>
        <b/>
        <i/>
        <sz val="8"/>
        <rFont val="Calibri"/>
        <family val="2"/>
        <scheme val="minor"/>
      </rPr>
      <t># of days to enter in Skyward)</t>
    </r>
  </si>
  <si>
    <r>
      <rPr>
        <b/>
        <sz val="12"/>
        <color theme="1"/>
        <rFont val="Calibri"/>
        <family val="2"/>
        <scheme val="minor"/>
      </rPr>
      <t>P</t>
    </r>
    <r>
      <rPr>
        <sz val="12"/>
        <color theme="1"/>
        <rFont val="Calibri"/>
        <family val="2"/>
        <scheme val="minor"/>
      </rPr>
      <t xml:space="preserve"> = Parent-Teacher Conference, </t>
    </r>
    <r>
      <rPr>
        <i/>
        <sz val="11"/>
        <color theme="1"/>
        <rFont val="Calibri"/>
        <family val="2"/>
        <scheme val="minor"/>
      </rPr>
      <t>if applicable</t>
    </r>
  </si>
  <si>
    <t>___ Uploaded to Google Doc</t>
  </si>
  <si>
    <t>___ Scanned in Employee File</t>
  </si>
  <si>
    <r>
      <rPr>
        <b/>
        <sz val="12"/>
        <color theme="1"/>
        <rFont val="Calibri"/>
        <family val="2"/>
        <scheme val="minor"/>
      </rPr>
      <t>PD</t>
    </r>
    <r>
      <rPr>
        <sz val="12"/>
        <color theme="1"/>
        <rFont val="Calibri"/>
        <family val="2"/>
        <scheme val="minor"/>
      </rPr>
      <t xml:space="preserve"> = Professional Development Day</t>
    </r>
  </si>
  <si>
    <t>CTE 207 Day</t>
  </si>
  <si>
    <t>207 Teacher</t>
  </si>
  <si>
    <t>Elem 187</t>
  </si>
  <si>
    <t>Sec 187</t>
  </si>
  <si>
    <t>Flex 187</t>
  </si>
  <si>
    <t>(Required Field)</t>
  </si>
  <si>
    <t>(Required Field, use Drop Down)</t>
  </si>
  <si>
    <t>Professional Development</t>
  </si>
  <si>
    <t>PTC Hours (0.5 days)</t>
  </si>
  <si>
    <t>Bldg
Code</t>
  </si>
  <si>
    <t>Short Description</t>
  </si>
  <si>
    <t>Long Description</t>
  </si>
  <si>
    <t>Level</t>
  </si>
  <si>
    <t>District</t>
  </si>
  <si>
    <t>022</t>
  </si>
  <si>
    <t>AOS MIDDLE 022</t>
  </si>
  <si>
    <t>ADMIN OF SCHOOLS MIDDLE 022</t>
  </si>
  <si>
    <t>024</t>
  </si>
  <si>
    <t>AOS HIGH 024</t>
  </si>
  <si>
    <t>ADMIN OF SCHOOLS HIGH 024</t>
  </si>
  <si>
    <t>026</t>
  </si>
  <si>
    <t>AOS ELEM 026</t>
  </si>
  <si>
    <t>ADMIN OF SCHOOLS ELEM 026</t>
  </si>
  <si>
    <t>027</t>
  </si>
  <si>
    <t>AOS ELEM 027</t>
  </si>
  <si>
    <t>ADMIN OF SCHOOLS ELEM 027</t>
  </si>
  <si>
    <t>028</t>
  </si>
  <si>
    <t>AOS ELEM 028</t>
  </si>
  <si>
    <t>ADMIN OF SCHOOLS ELEM 028</t>
  </si>
  <si>
    <t>029</t>
  </si>
  <si>
    <t>AOS ELEM 029</t>
  </si>
  <si>
    <t>ADMIN OF SCHOOLS ELEM 029</t>
  </si>
  <si>
    <t>040</t>
  </si>
  <si>
    <t>ACCOUNTABILITY</t>
  </si>
  <si>
    <t>ACCOUNTABILITY &amp; PROGRAM SERV</t>
  </si>
  <si>
    <t>041</t>
  </si>
  <si>
    <t>DEP SUPT INST S</t>
  </si>
  <si>
    <t>DEPUTY SUPERINTENDENT INSTRUCT</t>
  </si>
  <si>
    <t>043</t>
  </si>
  <si>
    <t>AUX SERVICES</t>
  </si>
  <si>
    <t>AUXILIARY SERVICES BLDG</t>
  </si>
  <si>
    <t>045</t>
  </si>
  <si>
    <t>HUMAN RESOURCES</t>
  </si>
  <si>
    <t>046</t>
  </si>
  <si>
    <t>INSURANCE DEPT</t>
  </si>
  <si>
    <t>INSURANCE DEPARTMENT</t>
  </si>
  <si>
    <t>047</t>
  </si>
  <si>
    <t>SPECIAL ED</t>
  </si>
  <si>
    <t>SPECIAL EDUCATION</t>
  </si>
  <si>
    <t>048</t>
  </si>
  <si>
    <t>COMPLIANCE</t>
  </si>
  <si>
    <t>COMPLIANCE  &amp; SPECIAL PROGRAMS</t>
  </si>
  <si>
    <t>049</t>
  </si>
  <si>
    <t>TEACH AND LEARN</t>
  </si>
  <si>
    <t>TEACHING AND LEARNING</t>
  </si>
  <si>
    <t>050</t>
  </si>
  <si>
    <t>ALT LANGUAGE</t>
  </si>
  <si>
    <t>ALTERNATIVE LANGUAGE SERVICES</t>
  </si>
  <si>
    <t>051</t>
  </si>
  <si>
    <t>COMMUNICATIONS</t>
  </si>
  <si>
    <t>052</t>
  </si>
  <si>
    <t>AT RISK STUDENT</t>
  </si>
  <si>
    <t>AT RISK STUDENTS/STUDENT INTER</t>
  </si>
  <si>
    <t>053</t>
  </si>
  <si>
    <t>PLAN &amp; STUDENT</t>
  </si>
  <si>
    <t>PLANNING &amp; STUDENT SERVICES</t>
  </si>
  <si>
    <t>054</t>
  </si>
  <si>
    <t>GUIDANCE</t>
  </si>
  <si>
    <t>055</t>
  </si>
  <si>
    <t>JORDAN EDUC FND</t>
  </si>
  <si>
    <t>JORDAN EDUCATION FOUNDATION</t>
  </si>
  <si>
    <t>056</t>
  </si>
  <si>
    <t>HEALTH&amp;WELLNESS</t>
  </si>
  <si>
    <t>HEALTH &amp; WELLNESS</t>
  </si>
  <si>
    <t>057</t>
  </si>
  <si>
    <t>CAREER/TECH ED</t>
  </si>
  <si>
    <t>CAREER &amp; TECHNICAL EDUCATION</t>
  </si>
  <si>
    <t>059</t>
  </si>
  <si>
    <t>071</t>
  </si>
  <si>
    <t>ENERGY ADVISOR</t>
  </si>
  <si>
    <t>072</t>
  </si>
  <si>
    <t>ALARM RESPONSE</t>
  </si>
  <si>
    <t>JORDAN ALARM RESPONSE</t>
  </si>
  <si>
    <t>073</t>
  </si>
  <si>
    <t>INSTR SUPPORT</t>
  </si>
  <si>
    <t>INSTRUCTIONAL SUPPORT SERVICES</t>
  </si>
  <si>
    <t>074</t>
  </si>
  <si>
    <t>NUTRITION SERV</t>
  </si>
  <si>
    <t>NUTRITION SERVICES</t>
  </si>
  <si>
    <t>075</t>
  </si>
  <si>
    <t>CUSTODIAL SERV</t>
  </si>
  <si>
    <t>CUSTODIAL SERVICES</t>
  </si>
  <si>
    <t>076</t>
  </si>
  <si>
    <t>NEW CONSTRUCTN</t>
  </si>
  <si>
    <t>NEW CONSTRUCTION</t>
  </si>
  <si>
    <t>077</t>
  </si>
  <si>
    <t>TRANSPORTATION</t>
  </si>
  <si>
    <t>TRANSPORTATION SERVICES</t>
  </si>
  <si>
    <t>078</t>
  </si>
  <si>
    <t>FACILITY SERV</t>
  </si>
  <si>
    <t>FACILITY SERVICES</t>
  </si>
  <si>
    <t>079</t>
  </si>
  <si>
    <t>CENTRAL WHSE</t>
  </si>
  <si>
    <t>CENTRAL WAREHOUSE</t>
  </si>
  <si>
    <t>080</t>
  </si>
  <si>
    <t>INFORMATION SYS</t>
  </si>
  <si>
    <t>INFORMATION SYSTEMS</t>
  </si>
  <si>
    <t>081</t>
  </si>
  <si>
    <t>BUSINESS ADMIN</t>
  </si>
  <si>
    <t>BUSINESS ADMIN SERVICES</t>
  </si>
  <si>
    <t>083</t>
  </si>
  <si>
    <t>ACCT/BUDG/AUDIT</t>
  </si>
  <si>
    <t>ACCOUNTING/BUDGETS/AUDITS</t>
  </si>
  <si>
    <t>087</t>
  </si>
  <si>
    <t>PURCHASING</t>
  </si>
  <si>
    <t>089</t>
  </si>
  <si>
    <t>PAYROLL</t>
  </si>
  <si>
    <t>091</t>
  </si>
  <si>
    <t>ACCTS PAYABLE</t>
  </si>
  <si>
    <t>ACCOUNTS PAYABLE</t>
  </si>
  <si>
    <t>095</t>
  </si>
  <si>
    <t>FIXED ASSETS</t>
  </si>
  <si>
    <t>099</t>
  </si>
  <si>
    <t>CUSTODIAL-DO</t>
  </si>
  <si>
    <t>CUSTODIAL-DISTRICT OFFICE</t>
  </si>
  <si>
    <t>109</t>
  </si>
  <si>
    <t>BLUFFDALE ELEM</t>
  </si>
  <si>
    <t>BLUFFDALE ELEMENTARY</t>
  </si>
  <si>
    <t>Elementary</t>
  </si>
  <si>
    <t>111</t>
  </si>
  <si>
    <t>COLUMBIA ELEM</t>
  </si>
  <si>
    <t>COLUMBIA ELEMENTARY</t>
  </si>
  <si>
    <t>114</t>
  </si>
  <si>
    <t>OAKCREST ELEM</t>
  </si>
  <si>
    <t>OAKCREST ELEMENTARY</t>
  </si>
  <si>
    <t>115</t>
  </si>
  <si>
    <t>DAYBREAK ELEM</t>
  </si>
  <si>
    <t>DAYBREAK ELEMENTARY</t>
  </si>
  <si>
    <t>117</t>
  </si>
  <si>
    <t>SILVER CREST</t>
  </si>
  <si>
    <t>SILVER CREST ELEMENTARY</t>
  </si>
  <si>
    <t>118</t>
  </si>
  <si>
    <t>EASTLAKE ELEM</t>
  </si>
  <si>
    <t>EASTLAKE ELEMENTARY</t>
  </si>
  <si>
    <t>119</t>
  </si>
  <si>
    <t>MIDAS CREEK</t>
  </si>
  <si>
    <t>MIDAS CREEK ELEMENTARY</t>
  </si>
  <si>
    <t>121</t>
  </si>
  <si>
    <t>FOX HOLLOW ELEM</t>
  </si>
  <si>
    <t>FOX HOLLOW ELEMENTARY</t>
  </si>
  <si>
    <t>125</t>
  </si>
  <si>
    <t>RIDGE VIEW ELEM</t>
  </si>
  <si>
    <t>RIDGE VIEW ELEMENTARY</t>
  </si>
  <si>
    <t>126</t>
  </si>
  <si>
    <t>ELK MEADOWS</t>
  </si>
  <si>
    <t>ELK MEADOWS ELEMENTARY</t>
  </si>
  <si>
    <t>127</t>
  </si>
  <si>
    <t>BLACKRIDGE ELEM</t>
  </si>
  <si>
    <t>BLACKRIDGE ELEMENTARY</t>
  </si>
  <si>
    <t>128</t>
  </si>
  <si>
    <t>FALCON RIDGE</t>
  </si>
  <si>
    <t>FALCON RIDGE ELEMENTARY</t>
  </si>
  <si>
    <t>129</t>
  </si>
  <si>
    <t>MOUNTAIN POINT</t>
  </si>
  <si>
    <t>MOUNTAIN POINT ELEMENTARY</t>
  </si>
  <si>
    <t>131</t>
  </si>
  <si>
    <t>HAYDEN PEAK</t>
  </si>
  <si>
    <t>HAYDEN PEAK ELEMENTARY</t>
  </si>
  <si>
    <t>132</t>
  </si>
  <si>
    <t>HEARTLAND ELEM</t>
  </si>
  <si>
    <t>HEARTLAND ELEMENTARY</t>
  </si>
  <si>
    <t>133</t>
  </si>
  <si>
    <t>JORDAN RIDGE</t>
  </si>
  <si>
    <t>JORDAN RIDGE ELEMENTARY</t>
  </si>
  <si>
    <t>134</t>
  </si>
  <si>
    <t>JORDAN HILLS</t>
  </si>
  <si>
    <t>JORDAN HILLS ELEMENTARY</t>
  </si>
  <si>
    <t>136</t>
  </si>
  <si>
    <t>HERRIMAN ELEM</t>
  </si>
  <si>
    <t>HERRIMAN ELEMENTARY</t>
  </si>
  <si>
    <t>137</t>
  </si>
  <si>
    <t>ANTELOPE CANYON</t>
  </si>
  <si>
    <t>ANTELOPE CANYON ELEMENTARY</t>
  </si>
  <si>
    <t>138</t>
  </si>
  <si>
    <t>MAJESTIC ELEM</t>
  </si>
  <si>
    <t>MAJESTIC ELEMENTARY</t>
  </si>
  <si>
    <t>139</t>
  </si>
  <si>
    <t>GOLDEN FIELDS</t>
  </si>
  <si>
    <t>GOLDEN FIELDS ELEMENTARY</t>
  </si>
  <si>
    <t>145</t>
  </si>
  <si>
    <t>MTN SHADOWS</t>
  </si>
  <si>
    <t>MOUNTAIN SHADOWS ELEMENTARY</t>
  </si>
  <si>
    <t>146</t>
  </si>
  <si>
    <t>MONTE VISTA</t>
  </si>
  <si>
    <t>MONTE VISTA ELEMENTARY</t>
  </si>
  <si>
    <t>147</t>
  </si>
  <si>
    <t>OQUIRRH ELEM</t>
  </si>
  <si>
    <t>OQUIRRH ELEMENTARY</t>
  </si>
  <si>
    <t>152</t>
  </si>
  <si>
    <t>RIVERTON ELEM</t>
  </si>
  <si>
    <t>RIVERTON ELEMENTARY</t>
  </si>
  <si>
    <t>153</t>
  </si>
  <si>
    <t>RIVERSIDE ELEM</t>
  </si>
  <si>
    <t>RIVERSIDE ELEMENTARY</t>
  </si>
  <si>
    <t>157</t>
  </si>
  <si>
    <t>ROSAMOND ELEM</t>
  </si>
  <si>
    <t>ROSAMOND ELEMENTARY</t>
  </si>
  <si>
    <t>160</t>
  </si>
  <si>
    <t>SO JORDAN ELEM</t>
  </si>
  <si>
    <t>SOUTH JORDAN ELEMENTARY</t>
  </si>
  <si>
    <t>161</t>
  </si>
  <si>
    <t>SOUTHLAND ELEM</t>
  </si>
  <si>
    <t>SOUTHLAND ELEMENTARY</t>
  </si>
  <si>
    <t>162</t>
  </si>
  <si>
    <t>TERRA LINDA</t>
  </si>
  <si>
    <t>TERRA LINDA ELEMENTARY</t>
  </si>
  <si>
    <t>163</t>
  </si>
  <si>
    <t>ROSE CREEK ELEM</t>
  </si>
  <si>
    <t>ROSE CREEK ELEMENTARY</t>
  </si>
  <si>
    <t>167</t>
  </si>
  <si>
    <t>WELBY ELEM</t>
  </si>
  <si>
    <t>WELBY ELEMENTARY</t>
  </si>
  <si>
    <t>169</t>
  </si>
  <si>
    <t>WESTVALE ELEM</t>
  </si>
  <si>
    <t>WESTVALE ELEMENTARY</t>
  </si>
  <si>
    <t>170</t>
  </si>
  <si>
    <t>WESTLAND ELEM</t>
  </si>
  <si>
    <t>WESTLAND ELEMENTARY</t>
  </si>
  <si>
    <t>173</t>
  </si>
  <si>
    <t>BASTIAN ELEM</t>
  </si>
  <si>
    <t>BASTIAN ELEMENTARY</t>
  </si>
  <si>
    <t>175</t>
  </si>
  <si>
    <t>COPPER CANYON</t>
  </si>
  <si>
    <t>COPPER CANYON ELEMENTARY</t>
  </si>
  <si>
    <t>176</t>
  </si>
  <si>
    <t>FOOTHILLS ELEM</t>
  </si>
  <si>
    <t>FOOTHILLS ELEMENTARY</t>
  </si>
  <si>
    <t>177</t>
  </si>
  <si>
    <t>BUTTERFLD ELEM</t>
  </si>
  <si>
    <t>BUTTERFIELD CANYON ELEMENTARY</t>
  </si>
  <si>
    <t>406</t>
  </si>
  <si>
    <t>JOEL P JENSEN</t>
  </si>
  <si>
    <t>JOEL P JENSEN MIDDLE</t>
  </si>
  <si>
    <t>Middle</t>
  </si>
  <si>
    <t>409</t>
  </si>
  <si>
    <t>OQUIRRH HILLS</t>
  </si>
  <si>
    <t>OQUIRRH HILLS MIDDLE</t>
  </si>
  <si>
    <t>411</t>
  </si>
  <si>
    <t>SOUTH JORDAN MS</t>
  </si>
  <si>
    <t>SOUTH JORDAN MIDDLE</t>
  </si>
  <si>
    <t>412</t>
  </si>
  <si>
    <t>WEST JORDAN MS</t>
  </si>
  <si>
    <t>WEST JORDAN MIDDLE</t>
  </si>
  <si>
    <t>413</t>
  </si>
  <si>
    <t>ELK RIDGE MS</t>
  </si>
  <si>
    <t>ELK RIDGE MIDDLE</t>
  </si>
  <si>
    <t>414</t>
  </si>
  <si>
    <t>WEST HILLS MS</t>
  </si>
  <si>
    <t>WEST HILLS MIDDLE</t>
  </si>
  <si>
    <t>415</t>
  </si>
  <si>
    <t>SOUTH HILLS MS</t>
  </si>
  <si>
    <t>SOUTH HILLS MIDDLE</t>
  </si>
  <si>
    <t>416</t>
  </si>
  <si>
    <t>SUNSET RIDGE MS</t>
  </si>
  <si>
    <t>SUNSET RIDGE MIDDLE</t>
  </si>
  <si>
    <t>417</t>
  </si>
  <si>
    <t>FT HERRIMAN MS</t>
  </si>
  <si>
    <t>FORT HERRIMAN MIDDLE</t>
  </si>
  <si>
    <t>419</t>
  </si>
  <si>
    <t>COPPER MOUNTAIN</t>
  </si>
  <si>
    <t>COPPER MOUNTAIN MIDDLE</t>
  </si>
  <si>
    <t>421</t>
  </si>
  <si>
    <t>HIDDEN VALLEY</t>
  </si>
  <si>
    <t>HIDDEN VALLEY MIDDLE</t>
  </si>
  <si>
    <t>422</t>
  </si>
  <si>
    <t>MOUNTAIN CREEK</t>
  </si>
  <si>
    <t>MOUNTAIN CREEK MIDDLE</t>
  </si>
  <si>
    <t>703</t>
  </si>
  <si>
    <t>COPPER HILLS HS</t>
  </si>
  <si>
    <t>COPPER HILLS HIGH</t>
  </si>
  <si>
    <t>High</t>
  </si>
  <si>
    <t>704</t>
  </si>
  <si>
    <t>BINGHAM HIGH</t>
  </si>
  <si>
    <t>707</t>
  </si>
  <si>
    <t>HERRIMAN HIGH</t>
  </si>
  <si>
    <t>710</t>
  </si>
  <si>
    <t>RIVERTON HIGH</t>
  </si>
  <si>
    <t>715</t>
  </si>
  <si>
    <t>MOUNTAIN RIDGE</t>
  </si>
  <si>
    <t>MOUNTAIN RIDGE HIGH</t>
  </si>
  <si>
    <t>716</t>
  </si>
  <si>
    <t>VALLEY HIGH</t>
  </si>
  <si>
    <t>Special</t>
  </si>
  <si>
    <t>Alternative</t>
  </si>
  <si>
    <t>718</t>
  </si>
  <si>
    <t>WEST JORDAN HS</t>
  </si>
  <si>
    <t>WEST JORDAN HIGH</t>
  </si>
  <si>
    <t>741</t>
  </si>
  <si>
    <t>JATC NORTH</t>
  </si>
  <si>
    <t>Tech</t>
  </si>
  <si>
    <t>744</t>
  </si>
  <si>
    <t>JATC SOUTH</t>
  </si>
  <si>
    <t>800</t>
  </si>
  <si>
    <t>PRESCHL/CDC</t>
  </si>
  <si>
    <t>PRESCHOOL/CHILD DEVELOPMNT CTR</t>
  </si>
  <si>
    <t>802</t>
  </si>
  <si>
    <t>SOUTH VALLEY</t>
  </si>
  <si>
    <t>820</t>
  </si>
  <si>
    <t>RIVER'S EDGE</t>
  </si>
  <si>
    <t>830</t>
  </si>
  <si>
    <t>KAURI SUE</t>
  </si>
  <si>
    <t>KAURI SUE HAMILTON</t>
  </si>
  <si>
    <t>981</t>
  </si>
  <si>
    <t>SOUTH POINTE HI</t>
  </si>
  <si>
    <t>SOUTH POINTE HIGH</t>
  </si>
  <si>
    <t>Employee Name</t>
  </si>
  <si>
    <t>B</t>
  </si>
  <si>
    <t>ACT</t>
  </si>
  <si>
    <t>A Day</t>
  </si>
  <si>
    <t>B Day</t>
  </si>
  <si>
    <t xml:space="preserve">Each day must be marked on the C, PD, or A rows.  Refer to key at bottom of page two. (Exception:  Days before school starts or after school ends depending on calendar.  These days are shaded in grey.) </t>
  </si>
  <si>
    <t>Hours per Day</t>
  </si>
  <si>
    <t>PD = Professional Development Day</t>
  </si>
  <si>
    <t>Instructions for Completing the Flex/Modified Calendar</t>
  </si>
  <si>
    <t>Contract Days</t>
  </si>
  <si>
    <t>Total Days</t>
  </si>
  <si>
    <t>014</t>
  </si>
  <si>
    <t>SUPERINTENDENT</t>
  </si>
  <si>
    <t>SUPERINTENDENT'S OFFICE</t>
  </si>
  <si>
    <t>EDUC LANGUAGE</t>
  </si>
  <si>
    <t>EDUCATIONAL LANGUAGE SERVICES</t>
  </si>
  <si>
    <t>098</t>
  </si>
  <si>
    <t>AUX SERV OFFICE</t>
  </si>
  <si>
    <t>AUX SERV OFFICES BLDGS 1,2,3</t>
  </si>
  <si>
    <t>179</t>
  </si>
  <si>
    <t>190</t>
  </si>
  <si>
    <t>490</t>
  </si>
  <si>
    <t>790</t>
  </si>
  <si>
    <t>Contract days already worked</t>
  </si>
  <si>
    <t>Days Remaining</t>
  </si>
  <si>
    <t>ASPEN ELEM</t>
  </si>
  <si>
    <t>ASPEN ELEMENTARY</t>
  </si>
  <si>
    <t>ROCKY PEAK EL</t>
  </si>
  <si>
    <t>ROCKY PEAK ELEMENTARY</t>
  </si>
  <si>
    <t>KINGS PEAK HIGH</t>
  </si>
  <si>
    <t>KELSEY PEAK MS</t>
  </si>
  <si>
    <t>KELSEY PEAK MIDDLE</t>
  </si>
  <si>
    <r>
      <rPr>
        <b/>
        <sz val="12"/>
        <color theme="1"/>
        <rFont val="Calibri"/>
        <family val="2"/>
        <scheme val="minor"/>
      </rPr>
      <t>C</t>
    </r>
    <r>
      <rPr>
        <sz val="12"/>
        <color theme="1"/>
        <rFont val="Calibri"/>
        <family val="2"/>
        <scheme val="minor"/>
      </rPr>
      <t xml:space="preserve"> = Contract Days </t>
    </r>
    <r>
      <rPr>
        <i/>
        <sz val="10"/>
        <color theme="1"/>
        <rFont val="Calibri"/>
        <family val="2"/>
        <scheme val="minor"/>
      </rPr>
      <t>(for employees with less than 1.0 FTE.  Please use "cc" for 0.5 days or enter the proper decimal amount instead of a "c" if needed to make calendar balance)</t>
    </r>
  </si>
  <si>
    <r>
      <t xml:space="preserve">PLEASE do </t>
    </r>
    <r>
      <rPr>
        <b/>
        <u/>
        <sz val="14"/>
        <color rgb="FFFF0000"/>
        <rFont val="Calibri"/>
        <family val="2"/>
        <scheme val="minor"/>
      </rPr>
      <t>NOT</t>
    </r>
    <r>
      <rPr>
        <sz val="14"/>
        <color rgb="FFFF0000"/>
        <rFont val="Calibri"/>
        <family val="2"/>
        <scheme val="minor"/>
      </rPr>
      <t xml:space="preserve"> use Google Sheets to complete this calendar.  The formulas will not work correctly!  You must download file and open in Excel.</t>
    </r>
  </si>
  <si>
    <r>
      <rPr>
        <b/>
        <sz val="12"/>
        <color theme="1"/>
        <rFont val="Calibri"/>
        <family val="2"/>
        <scheme val="minor"/>
      </rPr>
      <t>A</t>
    </r>
    <r>
      <rPr>
        <sz val="12"/>
        <color theme="1"/>
        <rFont val="Calibri"/>
        <family val="2"/>
        <scheme val="minor"/>
      </rPr>
      <t xml:space="preserve"> = Additional Day paid by Stipend - </t>
    </r>
    <r>
      <rPr>
        <i/>
        <sz val="10"/>
        <color theme="1"/>
        <rFont val="Calibri"/>
        <family val="2"/>
        <scheme val="minor"/>
      </rPr>
      <t>if this day will be paid with a time sheet, do NOT enter day on this calendar.</t>
    </r>
  </si>
  <si>
    <t>This section must be filled in for holidays and contract days to calculate correctly!</t>
  </si>
  <si>
    <t>OAK LEAF ELEM</t>
  </si>
  <si>
    <t>OAK LEAF ELEMENTARY</t>
  </si>
  <si>
    <t>Version:</t>
  </si>
  <si>
    <t xml:space="preserve">The calendars must be followed as outlined.  Not following the approved calendar could result in loss of benefits including, but not limited to, insurance benefits, leave benefits, time entry and may also result in over/under payment of individual contract.  </t>
  </si>
  <si>
    <t>Secondary:</t>
  </si>
  <si>
    <t>LANG&amp;CULT SERV</t>
  </si>
  <si>
    <t>LANGUAGE AND CULTURE SERVICES</t>
  </si>
  <si>
    <t>141</t>
  </si>
  <si>
    <t>189</t>
  </si>
  <si>
    <t>JUNIPER ELEM</t>
  </si>
  <si>
    <t>JUNIPER ELEMEMTARY</t>
  </si>
  <si>
    <r>
      <t xml:space="preserve">There is a Virtual Health and Wellness day on </t>
    </r>
    <r>
      <rPr>
        <b/>
        <sz val="12"/>
        <color rgb="FF00B050"/>
        <rFont val="Calibri"/>
        <family val="2"/>
        <scheme val="minor"/>
      </rPr>
      <t>February 7, 2025</t>
    </r>
    <r>
      <rPr>
        <sz val="12"/>
        <color theme="1"/>
        <rFont val="Calibri"/>
        <family val="2"/>
        <scheme val="minor"/>
      </rPr>
      <t>. Please enter this day as a contract day.</t>
    </r>
  </si>
  <si>
    <t>9/25/2024-9/26/2024</t>
  </si>
  <si>
    <t>10/2/2024-10/3/2024</t>
  </si>
  <si>
    <t>2/19/2025-2/20/2025</t>
  </si>
  <si>
    <t>2/12/2025-2/13/2025</t>
  </si>
  <si>
    <t>JULY  2024</t>
  </si>
  <si>
    <t>AUGUST 2024</t>
  </si>
  <si>
    <t>SEPTEMBER 2024</t>
  </si>
  <si>
    <t xml:space="preserve">OCTOBER  2024
</t>
  </si>
  <si>
    <t xml:space="preserve">NOVEMBER  2024
</t>
  </si>
  <si>
    <t xml:space="preserve">DECEMBER  2024
</t>
  </si>
  <si>
    <t xml:space="preserve">JANUARY  2025
</t>
  </si>
  <si>
    <t xml:space="preserve">FEBRUARY  2025
</t>
  </si>
  <si>
    <t xml:space="preserve">MARCH  2025
</t>
  </si>
  <si>
    <t>APRIL  2025</t>
  </si>
  <si>
    <t xml:space="preserve">MAY  2025
</t>
  </si>
  <si>
    <t xml:space="preserve">JUNE  2025
</t>
  </si>
  <si>
    <t>JULY  2025</t>
  </si>
  <si>
    <t>Comp</t>
  </si>
  <si>
    <t>GTD</t>
  </si>
  <si>
    <t>HW</t>
  </si>
  <si>
    <r>
      <t xml:space="preserve">There is a </t>
    </r>
    <r>
      <rPr>
        <b/>
        <sz val="12"/>
        <color rgb="FFFF0000"/>
        <rFont val="Calibri"/>
        <family val="2"/>
        <scheme val="minor"/>
      </rPr>
      <t>mandatory</t>
    </r>
    <r>
      <rPr>
        <sz val="12"/>
        <color theme="1"/>
        <rFont val="Calibri"/>
        <family val="2"/>
        <scheme val="minor"/>
      </rPr>
      <t xml:space="preserve"> Professional Development day on</t>
    </r>
    <r>
      <rPr>
        <b/>
        <sz val="12"/>
        <color rgb="FFFF0000"/>
        <rFont val="Calibri"/>
        <family val="2"/>
        <scheme val="minor"/>
      </rPr>
      <t xml:space="preserve"> November 8, 2024 and March 14, 2025</t>
    </r>
    <r>
      <rPr>
        <sz val="12"/>
        <color theme="1"/>
        <rFont val="Calibri"/>
        <family val="2"/>
        <scheme val="minor"/>
      </rPr>
      <t xml:space="preserve">.  This day </t>
    </r>
    <r>
      <rPr>
        <b/>
        <sz val="12"/>
        <color rgb="FFFF0000"/>
        <rFont val="Calibri"/>
        <family val="2"/>
        <scheme val="minor"/>
      </rPr>
      <t>must</t>
    </r>
    <r>
      <rPr>
        <sz val="12"/>
        <color theme="1"/>
        <rFont val="Calibri"/>
        <family val="2"/>
        <scheme val="minor"/>
      </rPr>
      <t xml:space="preserve"> be marked as a contract day.  Employees are only required to work their required daily FTE on this day.  (ex.  0.5 FTE only has to attend 4 hours.)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</si>
</sst>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mm/dd/yy;@"/>
    <numFmt numFmtId="165" formatCode="0.0"/>
    <numFmt numFmtId="166" formatCode="0.00;0.00;"/>
    <numFmt numFmtId="167" formatCode="#&quot;) &quot;"/>
    <numFmt numFmtId="168" formatCode="0_);[Red]\(0\)"/>
    <numFmt numFmtId="169" formatCode="0.00_);[Red]\(0.00\);"/>
    <numFmt numFmtId="170" formatCode="0.00_);[Red]\(0.00\)"/>
    <numFmt numFmtId="171" formatCode="d"/>
    <numFmt numFmtId="172" formatCode="[$-F800]dddd\,\ mmmm\ dd\,\ yyyy"/>
    <numFmt numFmtId="173" formatCode="0.000"/>
    <numFmt numFmtId="174" formatCode="ddd"/>
  </numFmts>
  <fonts count="62" x14ac:knownFonts="1">
    <font>
      <sz val="11"/>
      <color theme="1"/>
      <name val="Calibri"/>
      <family val="2"/>
      <scheme val="minor"/>
    </font>
    <font>
      <sz val="12"/>
      <color theme="1"/>
      <name val="Calibri"/>
      <family val="2"/>
      <scheme val="minor"/>
    </font>
    <font>
      <b/>
      <sz val="11"/>
      <color theme="1"/>
      <name val="Calibri"/>
      <family val="2"/>
      <scheme val="minor"/>
    </font>
    <font>
      <b/>
      <i/>
      <sz val="8"/>
      <name val="Calibri"/>
      <family val="2"/>
      <scheme val="minor"/>
    </font>
    <font>
      <sz val="11"/>
      <name val="Calibri"/>
      <family val="2"/>
      <scheme val="minor"/>
    </font>
    <font>
      <sz val="8"/>
      <name val="Calibri"/>
      <family val="2"/>
      <scheme val="minor"/>
    </font>
    <font>
      <sz val="10"/>
      <name val="Calibri"/>
      <family val="2"/>
      <scheme val="minor"/>
    </font>
    <font>
      <b/>
      <i/>
      <sz val="10"/>
      <name val="Calibri"/>
      <family val="2"/>
      <scheme val="minor"/>
    </font>
    <font>
      <sz val="18"/>
      <name val="Calibri"/>
      <family val="2"/>
      <scheme val="minor"/>
    </font>
    <font>
      <b/>
      <sz val="10"/>
      <name val="Calibri"/>
      <family val="2"/>
      <scheme val="minor"/>
    </font>
    <font>
      <b/>
      <sz val="18"/>
      <name val="Calibri"/>
      <family val="2"/>
      <scheme val="minor"/>
    </font>
    <font>
      <b/>
      <i/>
      <sz val="10"/>
      <color rgb="FFC00000"/>
      <name val="Calibri"/>
      <family val="2"/>
      <scheme val="minor"/>
    </font>
    <font>
      <i/>
      <sz val="11"/>
      <color theme="1"/>
      <name val="Calibri"/>
      <family val="2"/>
      <scheme val="minor"/>
    </font>
    <font>
      <b/>
      <i/>
      <sz val="10"/>
      <color theme="0"/>
      <name val="Calibri"/>
      <family val="2"/>
      <scheme val="minor"/>
    </font>
    <font>
      <b/>
      <sz val="8"/>
      <name val="Calibri"/>
      <family val="2"/>
      <scheme val="minor"/>
    </font>
    <font>
      <b/>
      <i/>
      <sz val="9"/>
      <name val="Calibri"/>
      <family val="2"/>
      <scheme val="minor"/>
    </font>
    <font>
      <b/>
      <u/>
      <sz val="14"/>
      <color theme="8" tint="-0.249977111117893"/>
      <name val="Calibri"/>
      <family val="2"/>
      <scheme val="minor"/>
    </font>
    <font>
      <sz val="12"/>
      <color theme="1"/>
      <name val="Wingdings"/>
      <charset val="2"/>
    </font>
    <font>
      <sz val="12"/>
      <color theme="1"/>
      <name val="Calibri"/>
      <family val="2"/>
      <scheme val="minor"/>
    </font>
    <font>
      <b/>
      <sz val="12"/>
      <color rgb="FFFF0000"/>
      <name val="Calibri"/>
      <family val="2"/>
      <scheme val="minor"/>
    </font>
    <font>
      <b/>
      <u/>
      <sz val="12"/>
      <color theme="1"/>
      <name val="Calibri"/>
      <family val="2"/>
      <scheme val="minor"/>
    </font>
    <font>
      <i/>
      <sz val="10"/>
      <color theme="1"/>
      <name val="Calibri"/>
      <family val="2"/>
      <scheme val="minor"/>
    </font>
    <font>
      <i/>
      <sz val="12"/>
      <name val="Calibri"/>
      <family val="2"/>
      <scheme val="minor"/>
    </font>
    <font>
      <b/>
      <sz val="12"/>
      <color theme="1"/>
      <name val="Calibri"/>
      <family val="2"/>
      <scheme val="minor"/>
    </font>
    <font>
      <b/>
      <i/>
      <sz val="8"/>
      <color theme="0"/>
      <name val="Calibri"/>
      <family val="2"/>
      <scheme val="minor"/>
    </font>
    <font>
      <b/>
      <sz val="11"/>
      <name val="Calibri"/>
      <family val="2"/>
      <scheme val="minor"/>
    </font>
    <font>
      <sz val="8"/>
      <color rgb="FF000000"/>
      <name val="Segoe UI"/>
      <family val="2"/>
    </font>
    <font>
      <b/>
      <sz val="16"/>
      <color theme="1"/>
      <name val="Calibri"/>
      <family val="2"/>
      <scheme val="minor"/>
    </font>
    <font>
      <b/>
      <i/>
      <sz val="12"/>
      <name val="Calibri"/>
      <family val="2"/>
      <scheme val="minor"/>
    </font>
    <font>
      <b/>
      <i/>
      <sz val="16"/>
      <name val="Calibri"/>
      <family val="2"/>
      <scheme val="minor"/>
    </font>
    <font>
      <b/>
      <i/>
      <sz val="14"/>
      <color theme="0"/>
      <name val="Calibri"/>
      <family val="2"/>
      <scheme val="minor"/>
    </font>
    <font>
      <b/>
      <sz val="9"/>
      <color rgb="FFC00000"/>
      <name val="Calibri"/>
      <family val="2"/>
      <scheme val="minor"/>
    </font>
    <font>
      <b/>
      <sz val="11"/>
      <color theme="0"/>
      <name val="Calibri"/>
      <family val="2"/>
      <scheme val="minor"/>
    </font>
    <font>
      <sz val="11"/>
      <color theme="0"/>
      <name val="Calibri"/>
      <family val="2"/>
      <scheme val="minor"/>
    </font>
    <font>
      <b/>
      <i/>
      <sz val="18"/>
      <color rgb="FFC00000"/>
      <name val="Calibri"/>
      <family val="2"/>
      <scheme val="minor"/>
    </font>
    <font>
      <sz val="16"/>
      <color theme="1"/>
      <name val="Calibri"/>
      <family val="2"/>
      <scheme val="minor"/>
    </font>
    <font>
      <sz val="16"/>
      <name val="Calibri"/>
      <family val="2"/>
      <scheme val="minor"/>
    </font>
    <font>
      <b/>
      <sz val="16"/>
      <name val="Calibri"/>
      <family val="2"/>
      <scheme val="minor"/>
    </font>
    <font>
      <b/>
      <u/>
      <sz val="16"/>
      <name val="Calibri"/>
      <family val="2"/>
      <scheme val="minor"/>
    </font>
    <font>
      <i/>
      <sz val="16"/>
      <name val="Calibri"/>
      <family val="2"/>
      <scheme val="minor"/>
    </font>
    <font>
      <b/>
      <i/>
      <sz val="11"/>
      <name val="Calibri"/>
      <family val="2"/>
      <scheme val="minor"/>
    </font>
    <font>
      <i/>
      <sz val="9"/>
      <name val="Calibri"/>
      <family val="2"/>
      <scheme val="minor"/>
    </font>
    <font>
      <b/>
      <sz val="12"/>
      <name val="Calibri"/>
      <family val="2"/>
      <scheme val="minor"/>
    </font>
    <font>
      <sz val="12"/>
      <name val="Calibri"/>
      <family val="2"/>
      <scheme val="minor"/>
    </font>
    <font>
      <b/>
      <u/>
      <sz val="11"/>
      <name val="Calibri"/>
      <family val="2"/>
      <scheme val="minor"/>
    </font>
    <font>
      <i/>
      <sz val="11"/>
      <name val="Calibri"/>
      <family val="2"/>
      <scheme val="minor"/>
    </font>
    <font>
      <b/>
      <sz val="14"/>
      <color rgb="FFC00000"/>
      <name val="Calibri"/>
      <family val="2"/>
      <scheme val="minor"/>
    </font>
    <font>
      <b/>
      <i/>
      <sz val="12"/>
      <color rgb="FFC00000"/>
      <name val="Calibri"/>
      <family val="2"/>
      <scheme val="minor"/>
    </font>
    <font>
      <b/>
      <i/>
      <sz val="14"/>
      <name val="Calibri"/>
      <family val="2"/>
      <scheme val="minor"/>
    </font>
    <font>
      <b/>
      <sz val="20"/>
      <color theme="4"/>
      <name val="Calibri"/>
      <family val="2"/>
      <scheme val="minor"/>
    </font>
    <font>
      <i/>
      <sz val="8"/>
      <name val="Calibri"/>
      <family val="2"/>
      <scheme val="minor"/>
    </font>
    <font>
      <sz val="14"/>
      <color rgb="FFFF0000"/>
      <name val="Calibri"/>
      <family val="2"/>
      <scheme val="minor"/>
    </font>
    <font>
      <b/>
      <sz val="11"/>
      <color rgb="FF000000"/>
      <name val="Calibri"/>
      <family val="2"/>
    </font>
    <font>
      <sz val="11"/>
      <color theme="2" tint="-0.499984740745262"/>
      <name val="Calibri"/>
      <family val="2"/>
      <scheme val="minor"/>
    </font>
    <font>
      <b/>
      <i/>
      <sz val="12"/>
      <color theme="0"/>
      <name val="Calibri"/>
      <family val="2"/>
      <scheme val="minor"/>
    </font>
    <font>
      <sz val="12"/>
      <color theme="0"/>
      <name val="Calibri"/>
      <family val="2"/>
      <scheme val="minor"/>
    </font>
    <font>
      <b/>
      <i/>
      <sz val="12"/>
      <color theme="1" tint="0.14999847407452621"/>
      <name val="Calibri"/>
      <family val="2"/>
      <scheme val="minor"/>
    </font>
    <font>
      <b/>
      <u/>
      <sz val="14"/>
      <color rgb="FFFF0000"/>
      <name val="Calibri"/>
      <family val="2"/>
      <scheme val="minor"/>
    </font>
    <font>
      <b/>
      <sz val="12"/>
      <color rgb="FF00B050"/>
      <name val="Calibri"/>
      <family val="2"/>
      <scheme val="minor"/>
    </font>
    <font>
      <sz val="8"/>
      <color theme="9"/>
      <name val="Wingdings"/>
      <charset val="2"/>
    </font>
    <font>
      <sz val="9"/>
      <color rgb="FFFF0000"/>
      <name val="Calibri"/>
      <family val="2"/>
      <scheme val="minor"/>
    </font>
    <font>
      <b/>
      <sz val="14"/>
      <name val="Calibri"/>
      <family val="2"/>
      <scheme val="minor"/>
    </font>
  </fonts>
  <fills count="19">
    <fill>
      <patternFill patternType="none"/>
    </fill>
    <fill>
      <patternFill patternType="gray125"/>
    </fill>
    <fill>
      <patternFill patternType="solid">
        <fgColor theme="5" tint="0.79998168889431442"/>
        <bgColor indexed="64"/>
      </patternFill>
    </fill>
    <fill>
      <patternFill patternType="solid">
        <fgColor rgb="FFFFFF99"/>
        <bgColor indexed="64"/>
      </patternFill>
    </fill>
    <fill>
      <patternFill patternType="solid">
        <fgColor indexed="22"/>
        <bgColor indexed="64"/>
      </patternFill>
    </fill>
    <fill>
      <patternFill patternType="solid">
        <fgColor theme="9" tint="0.79998168889431442"/>
        <bgColor indexed="64"/>
      </patternFill>
    </fill>
    <fill>
      <patternFill patternType="solid">
        <fgColor theme="0"/>
        <bgColor indexed="64"/>
      </patternFill>
    </fill>
    <fill>
      <patternFill patternType="solid">
        <fgColor rgb="FFC00000"/>
        <bgColor indexed="64"/>
      </patternFill>
    </fill>
    <fill>
      <patternFill patternType="solid">
        <fgColor rgb="FFFF99FF"/>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0070C0"/>
        <bgColor indexed="64"/>
      </patternFill>
    </fill>
    <fill>
      <patternFill patternType="solid">
        <fgColor rgb="FFFFC000"/>
        <bgColor indexed="64"/>
      </patternFill>
    </fill>
    <fill>
      <patternFill patternType="solid">
        <fgColor rgb="FF92D050"/>
        <bgColor indexed="64"/>
      </patternFill>
    </fill>
    <fill>
      <patternFill patternType="solid">
        <fgColor theme="5" tint="-0.249977111117893"/>
        <bgColor indexed="64"/>
      </patternFill>
    </fill>
    <fill>
      <patternFill patternType="solid">
        <fgColor theme="1"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style="double">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293">
    <xf numFmtId="0" fontId="0" fillId="0" borderId="0" xfId="0"/>
    <xf numFmtId="0" fontId="0" fillId="0" borderId="0" xfId="0" applyFont="1"/>
    <xf numFmtId="0" fontId="17" fillId="0" borderId="0" xfId="0" applyFont="1" applyAlignment="1">
      <alignment horizontal="center" vertical="top" wrapText="1"/>
    </xf>
    <xf numFmtId="0" fontId="18" fillId="0" borderId="0" xfId="0" applyFont="1" applyAlignment="1">
      <alignment horizontal="right" vertical="top" wrapText="1"/>
    </xf>
    <xf numFmtId="0" fontId="18" fillId="0" borderId="0" xfId="0" applyFont="1" applyAlignment="1">
      <alignment vertical="top" wrapText="1"/>
    </xf>
    <xf numFmtId="0" fontId="18" fillId="0" borderId="0" xfId="0" applyFont="1" applyAlignment="1">
      <alignment wrapText="1"/>
    </xf>
    <xf numFmtId="0" fontId="18" fillId="0" borderId="0" xfId="0" applyFont="1" applyAlignment="1">
      <alignment horizontal="left" vertical="top" wrapText="1"/>
    </xf>
    <xf numFmtId="0" fontId="0" fillId="0" borderId="0" xfId="0" applyAlignment="1">
      <alignment vertical="top"/>
    </xf>
    <xf numFmtId="0" fontId="20" fillId="0" borderId="0" xfId="0" applyFont="1" applyAlignment="1">
      <alignment vertical="top"/>
    </xf>
    <xf numFmtId="0" fontId="18" fillId="0" borderId="0" xfId="0" applyFont="1" applyAlignment="1">
      <alignment vertical="center"/>
    </xf>
    <xf numFmtId="0" fontId="16" fillId="0" borderId="0" xfId="0" applyFont="1" applyAlignment="1">
      <alignment vertical="center"/>
    </xf>
    <xf numFmtId="0" fontId="2" fillId="0" borderId="0" xfId="0" applyFont="1"/>
    <xf numFmtId="0" fontId="0" fillId="0" borderId="0" xfId="0" applyFont="1" applyFill="1" applyBorder="1" applyAlignment="1">
      <alignment horizontal="right" indent="1"/>
    </xf>
    <xf numFmtId="0" fontId="18" fillId="0" borderId="0" xfId="0" applyFont="1" applyFill="1" applyBorder="1" applyAlignment="1">
      <alignment vertical="center"/>
    </xf>
    <xf numFmtId="0" fontId="5" fillId="6" borderId="0" xfId="0" applyFont="1" applyFill="1" applyBorder="1" applyAlignment="1" applyProtection="1">
      <alignment horizontal="center"/>
    </xf>
    <xf numFmtId="0" fontId="6" fillId="6" borderId="0" xfId="0" applyFont="1" applyFill="1" applyBorder="1" applyAlignment="1" applyProtection="1"/>
    <xf numFmtId="0" fontId="3" fillId="6" borderId="0" xfId="0" applyFont="1" applyFill="1" applyBorder="1" applyAlignment="1" applyProtection="1">
      <alignment horizontal="left"/>
    </xf>
    <xf numFmtId="0" fontId="4" fillId="6" borderId="0" xfId="0" applyFont="1" applyFill="1" applyBorder="1" applyAlignment="1" applyProtection="1"/>
    <xf numFmtId="165" fontId="4" fillId="6" borderId="0" xfId="0" applyNumberFormat="1" applyFont="1" applyFill="1" applyBorder="1" applyAlignment="1" applyProtection="1"/>
    <xf numFmtId="0" fontId="9" fillId="6" borderId="0" xfId="0" applyFont="1" applyFill="1" applyBorder="1" applyAlignment="1" applyProtection="1">
      <alignment vertical="top" wrapText="1"/>
    </xf>
    <xf numFmtId="0" fontId="11" fillId="6" borderId="0" xfId="0" applyFont="1" applyFill="1" applyBorder="1" applyAlignment="1" applyProtection="1">
      <alignment vertical="center" wrapText="1"/>
    </xf>
    <xf numFmtId="0" fontId="24" fillId="6" borderId="0" xfId="0" applyFont="1" applyFill="1" applyBorder="1" applyAlignment="1" applyProtection="1">
      <alignment horizontal="left"/>
    </xf>
    <xf numFmtId="0" fontId="5" fillId="6" borderId="0" xfId="0" applyFont="1" applyFill="1" applyAlignment="1" applyProtection="1">
      <alignment horizontal="center"/>
    </xf>
    <xf numFmtId="2" fontId="5" fillId="6" borderId="0" xfId="0" applyNumberFormat="1" applyFont="1" applyFill="1" applyAlignment="1" applyProtection="1">
      <alignment horizontal="center"/>
    </xf>
    <xf numFmtId="0" fontId="14" fillId="6" borderId="0" xfId="0" applyFont="1" applyFill="1" applyBorder="1" applyAlignment="1" applyProtection="1">
      <alignment horizontal="center"/>
    </xf>
    <xf numFmtId="14" fontId="0" fillId="0" borderId="0" xfId="0" applyNumberFormat="1"/>
    <xf numFmtId="0" fontId="0" fillId="0" borderId="0" xfId="0" applyNumberFormat="1"/>
    <xf numFmtId="0" fontId="3" fillId="6" borderId="0" xfId="0" applyFont="1" applyFill="1" applyBorder="1" applyAlignment="1" applyProtection="1">
      <alignment horizontal="center"/>
    </xf>
    <xf numFmtId="0" fontId="0" fillId="6" borderId="0" xfId="0" applyFill="1"/>
    <xf numFmtId="0" fontId="4" fillId="6" borderId="0" xfId="0" applyFont="1" applyFill="1" applyBorder="1" applyAlignment="1" applyProtection="1">
      <alignment vertical="center" wrapText="1"/>
    </xf>
    <xf numFmtId="0" fontId="14" fillId="6" borderId="0" xfId="0" applyFont="1" applyFill="1" applyBorder="1" applyAlignment="1" applyProtection="1">
      <alignment horizontal="left"/>
    </xf>
    <xf numFmtId="0" fontId="9" fillId="6" borderId="0" xfId="0" applyFont="1" applyFill="1" applyBorder="1" applyAlignment="1" applyProtection="1">
      <alignment vertical="center" wrapText="1"/>
    </xf>
    <xf numFmtId="0" fontId="6" fillId="6" borderId="0" xfId="0" applyFont="1" applyFill="1" applyBorder="1" applyAlignment="1" applyProtection="1">
      <alignment vertical="center" wrapText="1"/>
    </xf>
    <xf numFmtId="0" fontId="14" fillId="6" borderId="0" xfId="0" applyFont="1" applyFill="1" applyBorder="1" applyAlignment="1" applyProtection="1">
      <alignment horizontal="center" vertical="top"/>
    </xf>
    <xf numFmtId="0" fontId="5" fillId="6" borderId="0" xfId="0" applyFont="1" applyFill="1" applyBorder="1" applyAlignment="1" applyProtection="1">
      <alignment horizontal="center" vertical="top"/>
    </xf>
    <xf numFmtId="0" fontId="0" fillId="0" borderId="0" xfId="0" applyAlignment="1">
      <alignment horizontal="right"/>
    </xf>
    <xf numFmtId="0" fontId="0" fillId="0" borderId="0" xfId="0" applyFont="1" applyAlignment="1">
      <alignment horizontal="right"/>
    </xf>
    <xf numFmtId="0" fontId="4" fillId="6" borderId="0" xfId="0" applyFont="1" applyFill="1" applyBorder="1" applyAlignment="1" applyProtection="1">
      <alignment horizontal="center" vertical="center"/>
    </xf>
    <xf numFmtId="2" fontId="4" fillId="6" borderId="0" xfId="0" applyNumberFormat="1" applyFont="1" applyFill="1" applyAlignment="1" applyProtection="1">
      <alignment horizontal="center" vertical="center"/>
    </xf>
    <xf numFmtId="171" fontId="28" fillId="0" borderId="1" xfId="0" applyNumberFormat="1" applyFont="1" applyFill="1" applyBorder="1" applyAlignment="1" applyProtection="1">
      <alignment horizontal="center" vertical="center"/>
    </xf>
    <xf numFmtId="0" fontId="18" fillId="6" borderId="0" xfId="0" applyFont="1" applyFill="1"/>
    <xf numFmtId="0" fontId="18" fillId="0" borderId="0" xfId="0" applyFont="1"/>
    <xf numFmtId="0" fontId="28" fillId="0" borderId="9" xfId="0" applyFont="1" applyFill="1" applyBorder="1" applyAlignment="1" applyProtection="1">
      <alignment horizontal="center" vertical="center"/>
    </xf>
    <xf numFmtId="165" fontId="43" fillId="9" borderId="7" xfId="0" applyNumberFormat="1" applyFont="1" applyFill="1" applyBorder="1" applyAlignment="1" applyProtection="1">
      <alignment horizontal="center" vertical="center"/>
      <protection locked="0"/>
    </xf>
    <xf numFmtId="165" fontId="43" fillId="0" borderId="1" xfId="0" applyNumberFormat="1" applyFont="1" applyFill="1" applyBorder="1" applyAlignment="1" applyProtection="1">
      <alignment horizontal="center" vertical="center"/>
      <protection locked="0"/>
    </xf>
    <xf numFmtId="165" fontId="43" fillId="0" borderId="9" xfId="0" applyNumberFormat="1" applyFont="1" applyFill="1" applyBorder="1" applyAlignment="1" applyProtection="1">
      <alignment horizontal="center" vertical="center"/>
      <protection locked="0"/>
    </xf>
    <xf numFmtId="0" fontId="43" fillId="6" borderId="0" xfId="0" applyFont="1" applyFill="1" applyBorder="1" applyAlignment="1" applyProtection="1">
      <alignment horizontal="center" vertical="center"/>
    </xf>
    <xf numFmtId="2" fontId="43" fillId="6" borderId="0" xfId="0" applyNumberFormat="1" applyFont="1" applyFill="1" applyAlignment="1" applyProtection="1">
      <alignment horizontal="center" vertical="center"/>
    </xf>
    <xf numFmtId="171" fontId="28" fillId="0" borderId="9" xfId="0" applyNumberFormat="1" applyFont="1" applyFill="1" applyBorder="1" applyAlignment="1" applyProtection="1">
      <alignment horizontal="center" vertical="center"/>
    </xf>
    <xf numFmtId="0" fontId="43" fillId="6" borderId="16" xfId="0" applyFont="1" applyFill="1" applyBorder="1" applyAlignment="1" applyProtection="1">
      <alignment horizontal="center" vertical="center"/>
    </xf>
    <xf numFmtId="0" fontId="28" fillId="6" borderId="0" xfId="0" applyFont="1" applyFill="1" applyBorder="1" applyAlignment="1" applyProtection="1">
      <alignment horizontal="center" vertical="center"/>
    </xf>
    <xf numFmtId="0" fontId="42" fillId="6" borderId="10" xfId="0" applyFont="1" applyFill="1" applyBorder="1" applyAlignment="1" applyProtection="1">
      <alignment vertical="center"/>
    </xf>
    <xf numFmtId="165" fontId="43" fillId="0" borderId="15" xfId="0" applyNumberFormat="1" applyFont="1" applyFill="1" applyBorder="1" applyAlignment="1" applyProtection="1">
      <alignment horizontal="center" vertical="center"/>
      <protection locked="0"/>
    </xf>
    <xf numFmtId="0" fontId="44" fillId="6" borderId="0" xfId="0" applyFont="1" applyFill="1" applyAlignment="1" applyProtection="1">
      <alignment horizontal="left" vertical="center"/>
    </xf>
    <xf numFmtId="0" fontId="25" fillId="6" borderId="0" xfId="0" applyFont="1" applyFill="1" applyAlignment="1" applyProtection="1">
      <alignment horizontal="center" vertical="center"/>
    </xf>
    <xf numFmtId="0" fontId="4" fillId="6" borderId="0" xfId="0" applyFont="1" applyFill="1" applyAlignment="1" applyProtection="1">
      <alignment horizontal="center" vertical="center"/>
    </xf>
    <xf numFmtId="0" fontId="25" fillId="6" borderId="0" xfId="0" applyFont="1" applyFill="1" applyAlignment="1" applyProtection="1">
      <alignment horizontal="left" vertical="center"/>
    </xf>
    <xf numFmtId="0" fontId="4" fillId="6" borderId="0" xfId="0" applyFont="1" applyFill="1" applyAlignment="1" applyProtection="1">
      <alignment vertical="center"/>
    </xf>
    <xf numFmtId="0" fontId="44" fillId="6" borderId="8" xfId="0" applyFont="1" applyFill="1" applyBorder="1" applyAlignment="1" applyProtection="1">
      <alignment horizontal="left" vertical="center"/>
    </xf>
    <xf numFmtId="0" fontId="4" fillId="6" borderId="4" xfId="0" applyFont="1" applyFill="1" applyBorder="1" applyAlignment="1" applyProtection="1">
      <alignment horizontal="center" vertical="center"/>
    </xf>
    <xf numFmtId="0" fontId="4" fillId="6" borderId="0" xfId="0" applyFont="1" applyFill="1" applyAlignment="1" applyProtection="1">
      <alignment horizontal="left" vertical="center"/>
    </xf>
    <xf numFmtId="167" fontId="4" fillId="2" borderId="0" xfId="0" applyNumberFormat="1" applyFont="1" applyFill="1" applyAlignment="1" applyProtection="1">
      <alignment horizontal="right" vertical="center"/>
    </xf>
    <xf numFmtId="0" fontId="4" fillId="2" borderId="0" xfId="0" applyFont="1" applyFill="1" applyAlignment="1" applyProtection="1">
      <alignment horizontal="left" vertical="center"/>
    </xf>
    <xf numFmtId="0" fontId="4" fillId="6" borderId="0" xfId="0" quotePrefix="1" applyFont="1" applyFill="1" applyAlignment="1" applyProtection="1">
      <alignment horizontal="left" vertical="center"/>
    </xf>
    <xf numFmtId="0" fontId="4" fillId="6" borderId="0" xfId="0" applyFont="1" applyFill="1" applyBorder="1" applyAlignment="1" applyProtection="1">
      <alignment vertical="center"/>
    </xf>
    <xf numFmtId="0" fontId="4" fillId="6" borderId="4" xfId="0" applyFont="1" applyFill="1" applyBorder="1" applyAlignment="1" applyProtection="1">
      <alignment horizontal="left" vertical="center"/>
    </xf>
    <xf numFmtId="2" fontId="4" fillId="6" borderId="0" xfId="0" applyNumberFormat="1" applyFont="1" applyFill="1" applyAlignment="1" applyProtection="1">
      <alignment vertical="center"/>
    </xf>
    <xf numFmtId="167" fontId="4" fillId="6" borderId="0" xfId="0" applyNumberFormat="1" applyFont="1" applyFill="1" applyAlignment="1" applyProtection="1">
      <alignment horizontal="right" vertical="center"/>
    </xf>
    <xf numFmtId="167" fontId="4" fillId="5" borderId="0" xfId="0" applyNumberFormat="1" applyFont="1" applyFill="1" applyAlignment="1" applyProtection="1">
      <alignment vertical="center"/>
    </xf>
    <xf numFmtId="0" fontId="4" fillId="5" borderId="0" xfId="0" applyFont="1" applyFill="1" applyAlignment="1" applyProtection="1">
      <alignment horizontal="left" vertical="center"/>
    </xf>
    <xf numFmtId="0" fontId="45" fillId="5" borderId="0" xfId="0" applyFont="1" applyFill="1" applyAlignment="1" applyProtection="1">
      <alignment horizontal="left" vertical="center"/>
    </xf>
    <xf numFmtId="167" fontId="4" fillId="5" borderId="0" xfId="0" applyNumberFormat="1" applyFont="1" applyFill="1" applyAlignment="1" applyProtection="1">
      <alignment horizontal="right" vertical="center"/>
    </xf>
    <xf numFmtId="0" fontId="0" fillId="6" borderId="0" xfId="0" applyFont="1" applyFill="1" applyAlignment="1" applyProtection="1">
      <alignment vertical="center"/>
    </xf>
    <xf numFmtId="0" fontId="25" fillId="6" borderId="0" xfId="0" applyFont="1" applyFill="1" applyAlignment="1" applyProtection="1">
      <alignment vertical="center"/>
    </xf>
    <xf numFmtId="0" fontId="4" fillId="6" borderId="0" xfId="0" applyFont="1" applyFill="1" applyBorder="1" applyAlignment="1" applyProtection="1">
      <alignment horizontal="left" vertical="center"/>
    </xf>
    <xf numFmtId="170" fontId="25" fillId="6" borderId="0" xfId="0" applyNumberFormat="1" applyFont="1" applyFill="1" applyAlignment="1" applyProtection="1">
      <alignment vertical="center"/>
    </xf>
    <xf numFmtId="0" fontId="45" fillId="6" borderId="0" xfId="0" applyFont="1" applyFill="1" applyAlignment="1" applyProtection="1">
      <alignment horizontal="left" vertical="center"/>
    </xf>
    <xf numFmtId="0" fontId="45" fillId="6" borderId="0" xfId="0" applyFont="1" applyFill="1" applyAlignment="1" applyProtection="1">
      <alignment vertical="center"/>
    </xf>
    <xf numFmtId="0" fontId="4" fillId="6" borderId="0" xfId="0" applyFont="1" applyFill="1" applyAlignment="1" applyProtection="1">
      <alignment horizontal="right" vertical="center"/>
    </xf>
    <xf numFmtId="0" fontId="40" fillId="6" borderId="0" xfId="0" applyFont="1" applyFill="1" applyAlignment="1" applyProtection="1">
      <alignment vertical="center"/>
    </xf>
    <xf numFmtId="167" fontId="45" fillId="6" borderId="0" xfId="0" applyNumberFormat="1" applyFont="1" applyFill="1" applyAlignment="1" applyProtection="1">
      <alignment vertical="center"/>
    </xf>
    <xf numFmtId="14" fontId="45" fillId="6" borderId="0" xfId="0" applyNumberFormat="1" applyFont="1" applyFill="1" applyBorder="1" applyAlignment="1" applyProtection="1">
      <alignment horizontal="left" vertical="center"/>
    </xf>
    <xf numFmtId="170" fontId="40" fillId="6" borderId="0" xfId="0" applyNumberFormat="1" applyFont="1" applyFill="1" applyAlignment="1" applyProtection="1">
      <alignment vertical="center"/>
    </xf>
    <xf numFmtId="2" fontId="4" fillId="6" borderId="21" xfId="0" applyNumberFormat="1" applyFont="1" applyFill="1" applyBorder="1" applyAlignment="1" applyProtection="1">
      <alignment horizontal="center"/>
    </xf>
    <xf numFmtId="0" fontId="40" fillId="6" borderId="13" xfId="0" applyFont="1" applyFill="1" applyBorder="1" applyAlignment="1" applyProtection="1">
      <alignment horizontal="left" vertical="top"/>
    </xf>
    <xf numFmtId="2" fontId="40" fillId="6" borderId="23" xfId="0" applyNumberFormat="1" applyFont="1" applyFill="1" applyBorder="1" applyAlignment="1" applyProtection="1">
      <alignment horizontal="left" vertical="top"/>
    </xf>
    <xf numFmtId="0" fontId="38" fillId="6" borderId="0" xfId="0" applyFont="1" applyFill="1" applyAlignment="1" applyProtection="1">
      <alignment horizontal="left" vertical="center"/>
    </xf>
    <xf numFmtId="0" fontId="39" fillId="6" borderId="0" xfId="0" applyFont="1" applyFill="1" applyAlignment="1" applyProtection="1">
      <alignment horizontal="left" vertical="center"/>
    </xf>
    <xf numFmtId="0" fontId="43" fillId="6" borderId="0" xfId="0" applyFont="1" applyFill="1" applyAlignment="1" applyProtection="1">
      <alignment horizontal="left" vertical="center"/>
    </xf>
    <xf numFmtId="1" fontId="22" fillId="11" borderId="6" xfId="0" applyNumberFormat="1" applyFont="1" applyFill="1" applyBorder="1" applyAlignment="1" applyProtection="1">
      <alignment horizontal="right" vertical="center"/>
    </xf>
    <xf numFmtId="173" fontId="22" fillId="11" borderId="10" xfId="0" applyNumberFormat="1" applyFont="1" applyFill="1" applyBorder="1" applyAlignment="1" applyProtection="1">
      <alignment horizontal="left" vertical="center"/>
    </xf>
    <xf numFmtId="2" fontId="22" fillId="11" borderId="1" xfId="0" applyNumberFormat="1" applyFont="1" applyFill="1" applyBorder="1" applyAlignment="1" applyProtection="1">
      <alignment horizontal="center" vertical="center"/>
    </xf>
    <xf numFmtId="14" fontId="25" fillId="6" borderId="0" xfId="0" applyNumberFormat="1" applyFont="1" applyFill="1" applyBorder="1" applyAlignment="1" applyProtection="1">
      <alignment horizontal="left"/>
    </xf>
    <xf numFmtId="0" fontId="0" fillId="0" borderId="0" xfId="0" applyFill="1" applyBorder="1"/>
    <xf numFmtId="0" fontId="18" fillId="0" borderId="0" xfId="0" applyFont="1" applyFill="1" applyBorder="1"/>
    <xf numFmtId="0" fontId="0" fillId="6" borderId="0" xfId="0" applyFill="1" applyBorder="1"/>
    <xf numFmtId="0" fontId="35" fillId="6" borderId="0" xfId="0" applyFont="1" applyFill="1" applyBorder="1"/>
    <xf numFmtId="0" fontId="0" fillId="6" borderId="21" xfId="0" applyFill="1" applyBorder="1"/>
    <xf numFmtId="0" fontId="0" fillId="6" borderId="13" xfId="0" applyFill="1" applyBorder="1"/>
    <xf numFmtId="0" fontId="35" fillId="6" borderId="13" xfId="0" applyFont="1" applyFill="1" applyBorder="1"/>
    <xf numFmtId="0" fontId="0" fillId="6" borderId="23" xfId="0" applyFill="1" applyBorder="1"/>
    <xf numFmtId="1" fontId="22" fillId="11" borderId="5" xfId="0" applyNumberFormat="1" applyFont="1" applyFill="1" applyBorder="1" applyAlignment="1" applyProtection="1">
      <alignment horizontal="right" vertical="center"/>
    </xf>
    <xf numFmtId="173" fontId="22" fillId="11" borderId="2" xfId="0" applyNumberFormat="1" applyFont="1" applyFill="1" applyBorder="1" applyAlignment="1" applyProtection="1">
      <alignment horizontal="left" vertical="center"/>
    </xf>
    <xf numFmtId="2" fontId="22" fillId="11" borderId="17" xfId="0" applyNumberFormat="1" applyFont="1" applyFill="1" applyBorder="1" applyAlignment="1" applyProtection="1">
      <alignment horizontal="center" vertical="center"/>
    </xf>
    <xf numFmtId="166" fontId="43" fillId="0" borderId="28" xfId="0" applyNumberFormat="1" applyFont="1" applyFill="1" applyBorder="1" applyAlignment="1" applyProtection="1">
      <alignment horizontal="center" vertical="center"/>
    </xf>
    <xf numFmtId="0" fontId="24" fillId="6" borderId="0" xfId="0" applyFont="1" applyFill="1" applyBorder="1" applyAlignment="1" applyProtection="1">
      <alignment horizontal="left"/>
      <protection hidden="1"/>
    </xf>
    <xf numFmtId="0" fontId="0" fillId="0" borderId="0" xfId="0" applyAlignment="1"/>
    <xf numFmtId="171" fontId="28" fillId="6" borderId="1" xfId="0" applyNumberFormat="1" applyFont="1" applyFill="1" applyBorder="1" applyAlignment="1" applyProtection="1">
      <alignment horizontal="center" vertical="center"/>
    </xf>
    <xf numFmtId="1" fontId="32" fillId="6" borderId="0" xfId="0" applyNumberFormat="1" applyFont="1" applyFill="1" applyBorder="1" applyAlignment="1" applyProtection="1">
      <alignment vertical="center"/>
    </xf>
    <xf numFmtId="0" fontId="39" fillId="8" borderId="1" xfId="0" applyFont="1" applyFill="1" applyBorder="1" applyAlignment="1" applyProtection="1">
      <alignment horizontal="left" vertical="center"/>
    </xf>
    <xf numFmtId="171" fontId="28" fillId="12" borderId="1" xfId="0" applyNumberFormat="1" applyFont="1" applyFill="1" applyBorder="1" applyAlignment="1" applyProtection="1">
      <alignment horizontal="center" vertical="center"/>
    </xf>
    <xf numFmtId="0" fontId="28" fillId="2" borderId="9" xfId="0" applyFont="1" applyFill="1" applyBorder="1" applyAlignment="1" applyProtection="1">
      <alignment horizontal="center" vertical="center"/>
    </xf>
    <xf numFmtId="165" fontId="43" fillId="2" borderId="7" xfId="0" applyNumberFormat="1" applyFont="1" applyFill="1" applyBorder="1" applyAlignment="1" applyProtection="1">
      <alignment horizontal="center" vertical="center"/>
      <protection locked="0"/>
    </xf>
    <xf numFmtId="166" fontId="43" fillId="2" borderId="28" xfId="0" applyNumberFormat="1" applyFont="1" applyFill="1" applyBorder="1" applyAlignment="1" applyProtection="1">
      <alignment horizontal="center" vertical="center"/>
    </xf>
    <xf numFmtId="165" fontId="43" fillId="2" borderId="9" xfId="0" applyNumberFormat="1" applyFont="1" applyFill="1" applyBorder="1" applyAlignment="1" applyProtection="1">
      <alignment horizontal="center" vertical="center"/>
      <protection locked="0"/>
    </xf>
    <xf numFmtId="165" fontId="43" fillId="2" borderId="1" xfId="0" applyNumberFormat="1" applyFont="1" applyFill="1" applyBorder="1" applyAlignment="1" applyProtection="1">
      <alignment horizontal="center" vertical="center"/>
      <protection locked="0"/>
    </xf>
    <xf numFmtId="165" fontId="43" fillId="2" borderId="15" xfId="0" applyNumberFormat="1" applyFont="1" applyFill="1" applyBorder="1" applyAlignment="1" applyProtection="1">
      <alignment horizontal="center" vertical="center"/>
      <protection locked="0"/>
    </xf>
    <xf numFmtId="0" fontId="16" fillId="0" borderId="0" xfId="0" applyFont="1" applyAlignment="1"/>
    <xf numFmtId="0" fontId="4" fillId="6" borderId="0" xfId="0" applyFont="1" applyFill="1" applyAlignment="1" applyProtection="1">
      <alignment horizontal="left" vertical="center"/>
    </xf>
    <xf numFmtId="14" fontId="4" fillId="6" borderId="0" xfId="0" applyNumberFormat="1" applyFont="1" applyFill="1" applyBorder="1" applyAlignment="1" applyProtection="1">
      <alignment vertical="center"/>
    </xf>
    <xf numFmtId="0" fontId="31" fillId="6" borderId="0" xfId="0" applyFont="1" applyFill="1" applyBorder="1" applyAlignment="1" applyProtection="1">
      <alignment vertical="center" wrapText="1"/>
    </xf>
    <xf numFmtId="2" fontId="43" fillId="2" borderId="7" xfId="0" applyNumberFormat="1" applyFont="1" applyFill="1" applyBorder="1" applyAlignment="1" applyProtection="1">
      <alignment horizontal="center" vertical="center"/>
      <protection locked="0"/>
    </xf>
    <xf numFmtId="0" fontId="4" fillId="6" borderId="0" xfId="0" applyFont="1" applyFill="1" applyAlignment="1" applyProtection="1">
      <alignment horizontal="left" vertical="center"/>
    </xf>
    <xf numFmtId="0" fontId="52" fillId="0" borderId="0" xfId="0" applyNumberFormat="1" applyFont="1" applyFill="1" applyAlignment="1" applyProtection="1">
      <alignment wrapText="1"/>
    </xf>
    <xf numFmtId="0" fontId="52" fillId="0" borderId="0" xfId="0" applyNumberFormat="1" applyFont="1" applyFill="1" applyAlignment="1" applyProtection="1"/>
    <xf numFmtId="0" fontId="0" fillId="0" borderId="0" xfId="0" applyNumberFormat="1" applyFill="1" applyAlignment="1" applyProtection="1"/>
    <xf numFmtId="0" fontId="53" fillId="6" borderId="24" xfId="0" applyFont="1" applyFill="1" applyBorder="1" applyAlignment="1">
      <alignment horizontal="center" vertical="center" wrapText="1"/>
    </xf>
    <xf numFmtId="0" fontId="33" fillId="6" borderId="0" xfId="0" applyFont="1" applyFill="1" applyBorder="1" applyAlignment="1" applyProtection="1">
      <alignment vertical="center" wrapText="1"/>
    </xf>
    <xf numFmtId="0" fontId="54" fillId="14" borderId="9" xfId="0" applyFont="1" applyFill="1" applyBorder="1" applyAlignment="1" applyProtection="1">
      <alignment horizontal="center" vertical="center"/>
    </xf>
    <xf numFmtId="166" fontId="55" fillId="14" borderId="28" xfId="0" applyNumberFormat="1" applyFont="1" applyFill="1" applyBorder="1" applyAlignment="1" applyProtection="1">
      <alignment horizontal="center" vertical="center"/>
    </xf>
    <xf numFmtId="0" fontId="0" fillId="0" borderId="0" xfId="0" applyNumberFormat="1" applyFont="1"/>
    <xf numFmtId="0" fontId="32" fillId="6" borderId="0" xfId="0" applyFont="1" applyFill="1" applyBorder="1" applyAlignment="1" applyProtection="1">
      <alignment vertical="center" wrapText="1"/>
    </xf>
    <xf numFmtId="0" fontId="39" fillId="16" borderId="1" xfId="0" applyFont="1" applyFill="1" applyBorder="1" applyAlignment="1" applyProtection="1">
      <alignment horizontal="left" vertical="center"/>
    </xf>
    <xf numFmtId="0" fontId="39" fillId="15" borderId="1" xfId="0" applyFont="1" applyFill="1" applyBorder="1" applyAlignment="1" applyProtection="1">
      <alignment horizontal="left" vertical="center"/>
    </xf>
    <xf numFmtId="0" fontId="1" fillId="0" borderId="0" xfId="0" applyFont="1" applyAlignment="1">
      <alignment vertical="top"/>
    </xf>
    <xf numFmtId="0" fontId="1" fillId="0" borderId="0" xfId="0" applyFont="1" applyAlignment="1">
      <alignment horizontal="left" vertical="top"/>
    </xf>
    <xf numFmtId="0" fontId="0" fillId="6" borderId="18" xfId="0" applyFill="1" applyBorder="1"/>
    <xf numFmtId="0" fontId="0" fillId="0" borderId="24" xfId="0" applyFill="1" applyBorder="1"/>
    <xf numFmtId="0" fontId="0" fillId="6" borderId="20" xfId="0" applyFill="1" applyBorder="1"/>
    <xf numFmtId="0" fontId="0" fillId="0" borderId="0" xfId="0" applyBorder="1"/>
    <xf numFmtId="0" fontId="0" fillId="0" borderId="21" xfId="0" applyFill="1" applyBorder="1"/>
    <xf numFmtId="0" fontId="31" fillId="6" borderId="21" xfId="0" applyFont="1" applyFill="1" applyBorder="1" applyAlignment="1" applyProtection="1">
      <alignment vertical="center" wrapText="1"/>
    </xf>
    <xf numFmtId="0" fontId="50" fillId="6" borderId="0" xfId="0" applyFont="1" applyFill="1" applyBorder="1" applyAlignment="1" applyProtection="1">
      <alignment horizontal="center" vertical="top"/>
    </xf>
    <xf numFmtId="0" fontId="0" fillId="6" borderId="22" xfId="0" applyFill="1" applyBorder="1"/>
    <xf numFmtId="0" fontId="14" fillId="6" borderId="13" xfId="0" applyFont="1" applyFill="1" applyBorder="1" applyAlignment="1" applyProtection="1">
      <alignment horizontal="left"/>
    </xf>
    <xf numFmtId="0" fontId="14" fillId="6" borderId="13" xfId="0" applyFont="1" applyFill="1" applyBorder="1" applyAlignment="1" applyProtection="1">
      <alignment horizontal="center"/>
    </xf>
    <xf numFmtId="0" fontId="3" fillId="6" borderId="13" xfId="0" applyFont="1" applyFill="1" applyBorder="1" applyAlignment="1" applyProtection="1">
      <alignment horizontal="center"/>
    </xf>
    <xf numFmtId="0" fontId="0" fillId="0" borderId="13" xfId="0" applyBorder="1"/>
    <xf numFmtId="1" fontId="13" fillId="6" borderId="13" xfId="0" quotePrefix="1" applyNumberFormat="1" applyFont="1" applyFill="1" applyBorder="1" applyAlignment="1" applyProtection="1"/>
    <xf numFmtId="0" fontId="3" fillId="6" borderId="13" xfId="0" applyFont="1" applyFill="1" applyBorder="1" applyAlignment="1" applyProtection="1">
      <alignment horizontal="left"/>
    </xf>
    <xf numFmtId="0" fontId="0" fillId="0" borderId="23" xfId="0" applyFill="1" applyBorder="1"/>
    <xf numFmtId="0" fontId="3" fillId="6" borderId="0" xfId="0" applyFont="1" applyFill="1" applyBorder="1" applyAlignment="1" applyProtection="1">
      <alignment horizontal="center" vertical="top" wrapText="1"/>
    </xf>
    <xf numFmtId="0" fontId="15"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1" fontId="13" fillId="6" borderId="0" xfId="0" quotePrefix="1" applyNumberFormat="1" applyFont="1" applyFill="1" applyBorder="1" applyAlignment="1" applyProtection="1"/>
    <xf numFmtId="0" fontId="28" fillId="0" borderId="1" xfId="0" applyFont="1" applyFill="1" applyBorder="1" applyAlignment="1" applyProtection="1">
      <alignment horizontal="center" vertical="center"/>
    </xf>
    <xf numFmtId="165" fontId="43" fillId="9" borderId="1" xfId="0" applyNumberFormat="1" applyFont="1" applyFill="1" applyBorder="1" applyAlignment="1" applyProtection="1">
      <alignment horizontal="center" vertical="center"/>
      <protection locked="0"/>
    </xf>
    <xf numFmtId="166" fontId="43" fillId="0" borderId="1" xfId="0" applyNumberFormat="1" applyFont="1" applyFill="1" applyBorder="1" applyAlignment="1" applyProtection="1">
      <alignment horizontal="center" vertical="center"/>
    </xf>
    <xf numFmtId="0" fontId="28" fillId="2" borderId="1" xfId="0" applyFont="1" applyFill="1" applyBorder="1" applyAlignment="1" applyProtection="1">
      <alignment horizontal="center" vertical="center"/>
    </xf>
    <xf numFmtId="166" fontId="43" fillId="2" borderId="1" xfId="0" applyNumberFormat="1" applyFont="1" applyFill="1" applyBorder="1" applyAlignment="1" applyProtection="1">
      <alignment horizontal="center" vertical="center"/>
    </xf>
    <xf numFmtId="0" fontId="54" fillId="14" borderId="1" xfId="0" applyFont="1" applyFill="1" applyBorder="1" applyAlignment="1" applyProtection="1">
      <alignment horizontal="center" vertical="center"/>
    </xf>
    <xf numFmtId="166" fontId="55" fillId="14" borderId="1" xfId="0" applyNumberFormat="1" applyFont="1" applyFill="1" applyBorder="1" applyAlignment="1" applyProtection="1">
      <alignment horizontal="center" vertical="center"/>
    </xf>
    <xf numFmtId="0" fontId="14" fillId="6" borderId="0" xfId="0" applyFont="1" applyFill="1" applyBorder="1" applyAlignment="1" applyProtection="1">
      <alignment vertical="center"/>
    </xf>
    <xf numFmtId="14" fontId="1" fillId="0" borderId="0" xfId="0" applyNumberFormat="1" applyFont="1" applyAlignment="1">
      <alignment horizontal="left" vertical="top"/>
    </xf>
    <xf numFmtId="0" fontId="59" fillId="0" borderId="0" xfId="0" applyFont="1"/>
    <xf numFmtId="0" fontId="60" fillId="6" borderId="0" xfId="0" applyFont="1" applyFill="1" applyAlignment="1" applyProtection="1">
      <alignment vertical="center"/>
    </xf>
    <xf numFmtId="0" fontId="37" fillId="6" borderId="0" xfId="0" applyFont="1" applyFill="1" applyBorder="1" applyAlignment="1" applyProtection="1">
      <alignment horizontal="left" vertical="center"/>
    </xf>
    <xf numFmtId="0" fontId="37" fillId="6" borderId="13" xfId="0" applyFont="1" applyFill="1" applyBorder="1" applyAlignment="1" applyProtection="1">
      <alignment horizontal="left" vertical="center"/>
    </xf>
    <xf numFmtId="0" fontId="29" fillId="6" borderId="22" xfId="0" applyFont="1" applyFill="1" applyBorder="1" applyAlignment="1" applyProtection="1">
      <alignment horizontal="left" vertical="center"/>
    </xf>
    <xf numFmtId="0" fontId="37" fillId="6" borderId="0" xfId="0" applyFont="1" applyFill="1" applyBorder="1" applyAlignment="1" applyProtection="1">
      <alignment horizontal="left" vertical="center" shrinkToFit="1"/>
    </xf>
    <xf numFmtId="0" fontId="36" fillId="6" borderId="0" xfId="0" applyFont="1" applyFill="1" applyAlignment="1" applyProtection="1">
      <alignment horizontal="left" vertical="center"/>
    </xf>
    <xf numFmtId="0" fontId="35" fillId="13" borderId="33" xfId="0" applyFont="1" applyFill="1" applyBorder="1" applyAlignment="1">
      <alignment horizontal="left" vertical="center"/>
    </xf>
    <xf numFmtId="0" fontId="35" fillId="0" borderId="0" xfId="0" applyFont="1" applyAlignment="1">
      <alignment horizontal="left" vertical="center"/>
    </xf>
    <xf numFmtId="0" fontId="36" fillId="6" borderId="20" xfId="0" applyFont="1" applyFill="1" applyBorder="1" applyAlignment="1" applyProtection="1">
      <alignment horizontal="left" vertical="center"/>
    </xf>
    <xf numFmtId="0" fontId="35" fillId="6" borderId="0" xfId="0" applyFont="1" applyFill="1" applyAlignment="1">
      <alignment horizontal="left" vertical="center"/>
    </xf>
    <xf numFmtId="0" fontId="35" fillId="6" borderId="20" xfId="0" applyFont="1" applyFill="1" applyBorder="1" applyAlignment="1">
      <alignment horizontal="left" vertical="center"/>
    </xf>
    <xf numFmtId="0" fontId="35" fillId="6" borderId="22" xfId="0" applyFont="1" applyFill="1" applyBorder="1" applyAlignment="1">
      <alignment horizontal="left" vertical="center"/>
    </xf>
    <xf numFmtId="0" fontId="0" fillId="17" borderId="0" xfId="0" applyFill="1"/>
    <xf numFmtId="0" fontId="0" fillId="17" borderId="0" xfId="0" applyFill="1" applyAlignment="1">
      <alignment horizontal="center"/>
    </xf>
    <xf numFmtId="0" fontId="0" fillId="17" borderId="0" xfId="0" applyFill="1" applyAlignment="1"/>
    <xf numFmtId="14" fontId="0" fillId="17" borderId="0" xfId="0" applyNumberFormat="1" applyFill="1"/>
    <xf numFmtId="174" fontId="0" fillId="17" borderId="0" xfId="0" applyNumberFormat="1" applyFill="1"/>
    <xf numFmtId="0" fontId="2" fillId="17" borderId="0" xfId="0" applyFont="1" applyFill="1" applyAlignment="1">
      <alignment horizontal="center"/>
    </xf>
    <xf numFmtId="0" fontId="2" fillId="17" borderId="0" xfId="0" applyFont="1" applyFill="1"/>
    <xf numFmtId="172" fontId="0" fillId="17" borderId="0" xfId="0" applyNumberFormat="1" applyFill="1"/>
    <xf numFmtId="0" fontId="0" fillId="17" borderId="0" xfId="0" applyNumberFormat="1" applyFill="1"/>
    <xf numFmtId="0" fontId="0" fillId="17" borderId="0" xfId="0" applyNumberFormat="1" applyFill="1" applyAlignment="1">
      <alignment horizontal="center"/>
    </xf>
    <xf numFmtId="49" fontId="0" fillId="0" borderId="0" xfId="0" applyNumberFormat="1" applyFill="1" applyAlignment="1" applyProtection="1"/>
    <xf numFmtId="171" fontId="56" fillId="18" borderId="1" xfId="0" applyNumberFormat="1" applyFont="1" applyFill="1" applyBorder="1" applyAlignment="1" applyProtection="1">
      <alignment horizontal="center" vertical="center"/>
    </xf>
    <xf numFmtId="0" fontId="16" fillId="0" borderId="0" xfId="0" applyFont="1" applyAlignment="1">
      <alignment horizontal="center"/>
    </xf>
    <xf numFmtId="0" fontId="19" fillId="0" borderId="0" xfId="0" applyFont="1" applyAlignment="1">
      <alignment horizontal="center" vertical="top" wrapText="1"/>
    </xf>
    <xf numFmtId="0" fontId="18" fillId="0" borderId="0" xfId="0" applyFont="1" applyAlignment="1">
      <alignment horizontal="left" vertical="top" wrapText="1"/>
    </xf>
    <xf numFmtId="0" fontId="1" fillId="0" borderId="0" xfId="0" applyFont="1" applyAlignment="1">
      <alignment horizontal="left" wrapText="1"/>
    </xf>
    <xf numFmtId="0" fontId="18" fillId="0" borderId="0" xfId="0" applyFont="1" applyAlignment="1">
      <alignment horizontal="left" wrapText="1"/>
    </xf>
    <xf numFmtId="0" fontId="51" fillId="0" borderId="0" xfId="0" applyFont="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Alignment="1">
      <alignment horizontal="left" vertical="top" wrapText="1"/>
    </xf>
    <xf numFmtId="14" fontId="36" fillId="6" borderId="2" xfId="0" applyNumberFormat="1" applyFont="1" applyFill="1" applyBorder="1" applyAlignment="1" applyProtection="1">
      <alignment horizontal="center" shrinkToFit="1"/>
      <protection locked="0"/>
    </xf>
    <xf numFmtId="14" fontId="25" fillId="6" borderId="0" xfId="0" applyNumberFormat="1" applyFont="1" applyFill="1" applyBorder="1" applyAlignment="1" applyProtection="1">
      <alignment horizontal="left" shrinkToFit="1"/>
      <protection locked="0"/>
    </xf>
    <xf numFmtId="0" fontId="4" fillId="6" borderId="0" xfId="0" applyFont="1" applyFill="1" applyAlignment="1" applyProtection="1">
      <alignment horizontal="left" vertical="center" wrapText="1"/>
    </xf>
    <xf numFmtId="2" fontId="42" fillId="0" borderId="29" xfId="0" applyNumberFormat="1" applyFont="1" applyFill="1" applyBorder="1" applyAlignment="1" applyProtection="1">
      <alignment horizontal="center" vertical="center"/>
    </xf>
    <xf numFmtId="0" fontId="43" fillId="0" borderId="30" xfId="0" applyFont="1" applyFill="1" applyBorder="1" applyAlignment="1" applyProtection="1">
      <alignment horizontal="center" vertical="center"/>
    </xf>
    <xf numFmtId="2" fontId="42" fillId="0" borderId="30" xfId="0" applyNumberFormat="1" applyFont="1" applyFill="1" applyBorder="1" applyAlignment="1" applyProtection="1">
      <alignment horizontal="center" vertical="center"/>
    </xf>
    <xf numFmtId="2" fontId="42" fillId="0" borderId="28" xfId="0" applyNumberFormat="1" applyFont="1" applyFill="1" applyBorder="1" applyAlignment="1" applyProtection="1">
      <alignment horizontal="center" vertical="center"/>
    </xf>
    <xf numFmtId="0" fontId="43" fillId="0" borderId="28" xfId="0" applyFont="1" applyFill="1" applyBorder="1" applyAlignment="1" applyProtection="1">
      <alignment horizontal="center" vertical="center"/>
    </xf>
    <xf numFmtId="0" fontId="28" fillId="0" borderId="29" xfId="0" applyFont="1" applyFill="1" applyBorder="1" applyAlignment="1" applyProtection="1">
      <alignment horizontal="center" vertical="center"/>
    </xf>
    <xf numFmtId="0" fontId="28" fillId="0" borderId="30" xfId="0" applyFont="1" applyFill="1" applyBorder="1" applyAlignment="1" applyProtection="1">
      <alignment horizontal="center" vertical="center"/>
    </xf>
    <xf numFmtId="168" fontId="4" fillId="6" borderId="8" xfId="0" applyNumberFormat="1" applyFont="1" applyFill="1" applyBorder="1" applyAlignment="1" applyProtection="1">
      <alignment horizontal="right" vertical="center"/>
    </xf>
    <xf numFmtId="0" fontId="4" fillId="6" borderId="0" xfId="0" applyFont="1" applyFill="1" applyBorder="1" applyAlignment="1" applyProtection="1">
      <alignment horizontal="right" vertical="center"/>
    </xf>
    <xf numFmtId="164" fontId="4" fillId="2" borderId="2" xfId="0" applyNumberFormat="1" applyFont="1" applyFill="1" applyBorder="1" applyAlignment="1" applyProtection="1">
      <alignment horizontal="left" vertical="center"/>
      <protection locked="0"/>
    </xf>
    <xf numFmtId="166" fontId="4" fillId="6" borderId="5" xfId="0" applyNumberFormat="1" applyFont="1" applyFill="1" applyBorder="1" applyAlignment="1" applyProtection="1">
      <alignment vertical="center"/>
    </xf>
    <xf numFmtId="166" fontId="4" fillId="6" borderId="2" xfId="0" applyNumberFormat="1" applyFont="1" applyFill="1" applyBorder="1" applyAlignment="1" applyProtection="1">
      <alignment vertical="center"/>
    </xf>
    <xf numFmtId="169" fontId="4" fillId="6" borderId="2" xfId="0" applyNumberFormat="1" applyFont="1" applyFill="1" applyBorder="1" applyAlignment="1" applyProtection="1">
      <alignment vertical="center"/>
    </xf>
    <xf numFmtId="164" fontId="4" fillId="2" borderId="10" xfId="0" applyNumberFormat="1" applyFont="1" applyFill="1" applyBorder="1" applyAlignment="1" applyProtection="1">
      <alignment horizontal="left" vertical="center"/>
      <protection locked="0"/>
    </xf>
    <xf numFmtId="0" fontId="25" fillId="2" borderId="0" xfId="0" applyFont="1" applyFill="1" applyAlignment="1" applyProtection="1">
      <alignment horizontal="left" vertical="center"/>
    </xf>
    <xf numFmtId="0" fontId="33" fillId="10" borderId="0" xfId="0" applyFont="1" applyFill="1" applyAlignment="1" applyProtection="1">
      <alignment horizontal="left" vertical="center"/>
    </xf>
    <xf numFmtId="0" fontId="4" fillId="6" borderId="0" xfId="0" applyFont="1" applyFill="1" applyAlignment="1" applyProtection="1">
      <alignment horizontal="left" vertical="center"/>
    </xf>
    <xf numFmtId="2" fontId="4" fillId="6" borderId="5" xfId="0" applyNumberFormat="1" applyFont="1" applyFill="1" applyBorder="1" applyAlignment="1" applyProtection="1">
      <alignment vertical="center"/>
    </xf>
    <xf numFmtId="2" fontId="4" fillId="6" borderId="2" xfId="0" applyNumberFormat="1" applyFont="1" applyFill="1" applyBorder="1" applyAlignment="1" applyProtection="1">
      <alignment vertical="center"/>
    </xf>
    <xf numFmtId="164" fontId="4" fillId="5" borderId="10" xfId="0" applyNumberFormat="1" applyFont="1" applyFill="1" applyBorder="1" applyAlignment="1" applyProtection="1">
      <alignment horizontal="left" vertical="center"/>
      <protection locked="0"/>
    </xf>
    <xf numFmtId="14" fontId="4" fillId="6" borderId="0" xfId="0" applyNumberFormat="1" applyFont="1" applyFill="1" applyBorder="1" applyAlignment="1" applyProtection="1">
      <alignment horizontal="left" vertical="center"/>
    </xf>
    <xf numFmtId="168" fontId="4" fillId="6" borderId="31" xfId="0" applyNumberFormat="1" applyFont="1" applyFill="1" applyBorder="1" applyAlignment="1" applyProtection="1">
      <alignment horizontal="right" vertical="center"/>
    </xf>
    <xf numFmtId="0" fontId="4" fillId="6" borderId="13" xfId="0" applyFont="1" applyFill="1" applyBorder="1" applyAlignment="1" applyProtection="1">
      <alignment horizontal="right" vertical="center"/>
    </xf>
    <xf numFmtId="2" fontId="25" fillId="6" borderId="34" xfId="0" applyNumberFormat="1" applyFont="1" applyFill="1" applyBorder="1" applyAlignment="1" applyProtection="1">
      <alignment vertical="center"/>
    </xf>
    <xf numFmtId="2" fontId="25" fillId="6" borderId="35" xfId="0" applyNumberFormat="1" applyFont="1" applyFill="1" applyBorder="1" applyAlignment="1" applyProtection="1">
      <alignment vertical="center"/>
    </xf>
    <xf numFmtId="2" fontId="4" fillId="6" borderId="6" xfId="0" applyNumberFormat="1" applyFont="1" applyFill="1" applyBorder="1" applyAlignment="1" applyProtection="1">
      <alignment vertical="center"/>
    </xf>
    <xf numFmtId="2" fontId="4" fillId="6" borderId="10" xfId="0" applyNumberFormat="1" applyFont="1" applyFill="1" applyBorder="1" applyAlignment="1" applyProtection="1">
      <alignment vertical="center"/>
    </xf>
    <xf numFmtId="0" fontId="27" fillId="6" borderId="19" xfId="0" applyFont="1" applyFill="1" applyBorder="1" applyAlignment="1">
      <alignment horizontal="center" vertical="center"/>
    </xf>
    <xf numFmtId="0" fontId="35" fillId="6" borderId="19" xfId="0" applyFont="1" applyFill="1" applyBorder="1" applyAlignment="1">
      <alignment horizontal="center" vertical="center"/>
    </xf>
    <xf numFmtId="0" fontId="30" fillId="7" borderId="11" xfId="0" applyFont="1" applyFill="1" applyBorder="1" applyAlignment="1" applyProtection="1">
      <alignment horizontal="center" vertical="center"/>
    </xf>
    <xf numFmtId="0" fontId="30" fillId="7" borderId="14" xfId="0" applyFont="1" applyFill="1" applyBorder="1" applyAlignment="1" applyProtection="1">
      <alignment horizontal="center" vertical="center"/>
    </xf>
    <xf numFmtId="0" fontId="30" fillId="7" borderId="12" xfId="0" applyFont="1" applyFill="1" applyBorder="1" applyAlignment="1" applyProtection="1">
      <alignment horizontal="center" vertical="center"/>
    </xf>
    <xf numFmtId="0" fontId="7" fillId="0" borderId="3"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42" fillId="6" borderId="3" xfId="0" applyFont="1" applyFill="1" applyBorder="1" applyAlignment="1" applyProtection="1">
      <alignment horizontal="left"/>
    </xf>
    <xf numFmtId="0" fontId="40" fillId="6" borderId="3" xfId="0" applyFont="1" applyFill="1" applyBorder="1" applyAlignment="1" applyProtection="1">
      <alignment horizontal="center" vertical="top" shrinkToFit="1"/>
    </xf>
    <xf numFmtId="0" fontId="3" fillId="6" borderId="3" xfId="0" applyFont="1" applyFill="1" applyBorder="1" applyAlignment="1" applyProtection="1">
      <alignment horizontal="center" vertical="top" shrinkToFit="1"/>
    </xf>
    <xf numFmtId="0" fontId="3" fillId="6" borderId="13" xfId="0" applyFont="1" applyFill="1" applyBorder="1" applyAlignment="1" applyProtection="1">
      <alignment horizontal="center" vertical="top" wrapText="1"/>
    </xf>
    <xf numFmtId="0" fontId="11" fillId="6" borderId="3" xfId="0" applyFont="1" applyFill="1" applyBorder="1" applyAlignment="1" applyProtection="1">
      <alignment horizontal="center" vertical="top" shrinkToFit="1"/>
    </xf>
    <xf numFmtId="0" fontId="36" fillId="6" borderId="2" xfId="0" applyFont="1" applyFill="1" applyBorder="1" applyAlignment="1" applyProtection="1">
      <alignment horizontal="left"/>
      <protection locked="0"/>
    </xf>
    <xf numFmtId="49" fontId="37" fillId="4" borderId="32" xfId="0" applyNumberFormat="1" applyFont="1" applyFill="1" applyBorder="1" applyAlignment="1" applyProtection="1">
      <alignment horizontal="left" vertical="center" textRotation="90" wrapText="1" shrinkToFit="1"/>
    </xf>
    <xf numFmtId="49" fontId="37" fillId="4" borderId="33" xfId="0" applyNumberFormat="1" applyFont="1" applyFill="1" applyBorder="1" applyAlignment="1" applyProtection="1">
      <alignment horizontal="left" vertical="center" textRotation="90" shrinkToFit="1"/>
    </xf>
    <xf numFmtId="49" fontId="37" fillId="4" borderId="17" xfId="0" applyNumberFormat="1" applyFont="1" applyFill="1" applyBorder="1" applyAlignment="1" applyProtection="1">
      <alignment horizontal="left" vertical="center" textRotation="90" shrinkToFit="1"/>
    </xf>
    <xf numFmtId="0" fontId="8" fillId="0" borderId="2" xfId="0" applyFont="1" applyFill="1" applyBorder="1" applyAlignment="1" applyProtection="1">
      <alignment horizontal="center"/>
      <protection locked="0"/>
    </xf>
    <xf numFmtId="0" fontId="15" fillId="0" borderId="3"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wrapText="1"/>
      <protection locked="0"/>
    </xf>
    <xf numFmtId="0" fontId="48" fillId="6" borderId="19" xfId="0" applyFont="1" applyFill="1" applyBorder="1" applyAlignment="1" applyProtection="1">
      <alignment horizontal="right"/>
    </xf>
    <xf numFmtId="2" fontId="42" fillId="0" borderId="1" xfId="0" applyNumberFormat="1" applyFont="1" applyFill="1" applyBorder="1" applyAlignment="1" applyProtection="1">
      <alignment horizontal="center" vertical="center"/>
    </xf>
    <xf numFmtId="0" fontId="43" fillId="0" borderId="1" xfId="0" applyFont="1" applyFill="1" applyBorder="1" applyAlignment="1" applyProtection="1">
      <alignment horizontal="center" vertical="center"/>
    </xf>
    <xf numFmtId="0" fontId="34" fillId="0" borderId="26" xfId="0" applyFont="1" applyFill="1" applyBorder="1" applyAlignment="1" applyProtection="1">
      <alignment horizontal="center" wrapText="1"/>
      <protection locked="0"/>
    </xf>
    <xf numFmtId="0" fontId="42" fillId="6" borderId="0" xfId="0" applyFont="1" applyFill="1" applyBorder="1" applyAlignment="1" applyProtection="1">
      <alignment horizontal="center"/>
    </xf>
    <xf numFmtId="2" fontId="8" fillId="6" borderId="2" xfId="0" applyNumberFormat="1" applyFont="1" applyFill="1" applyBorder="1" applyAlignment="1" applyProtection="1">
      <alignment horizontal="center"/>
      <protection locked="0"/>
    </xf>
    <xf numFmtId="0" fontId="8" fillId="6" borderId="2" xfId="0" applyFont="1" applyFill="1" applyBorder="1" applyAlignment="1" applyProtection="1">
      <alignment horizontal="center"/>
      <protection locked="0"/>
    </xf>
    <xf numFmtId="0" fontId="10" fillId="6" borderId="2" xfId="0" applyFont="1" applyFill="1" applyBorder="1" applyAlignment="1" applyProtection="1">
      <alignment horizontal="center" vertical="center" shrinkToFit="1"/>
      <protection locked="0"/>
    </xf>
    <xf numFmtId="14" fontId="24" fillId="6" borderId="0" xfId="0" applyNumberFormat="1" applyFont="1" applyFill="1" applyBorder="1" applyAlignment="1" applyProtection="1">
      <alignment horizontal="center"/>
      <protection locked="0" hidden="1"/>
    </xf>
    <xf numFmtId="0" fontId="8" fillId="0" borderId="2" xfId="0" applyFont="1" applyFill="1" applyBorder="1" applyAlignment="1" applyProtection="1">
      <alignment horizontal="center"/>
    </xf>
    <xf numFmtId="0" fontId="27" fillId="6" borderId="19" xfId="0" applyFont="1" applyFill="1" applyBorder="1" applyAlignment="1">
      <alignment horizontal="left" vertical="center"/>
    </xf>
    <xf numFmtId="168" fontId="25" fillId="6" borderId="0" xfId="0" applyNumberFormat="1" applyFont="1" applyFill="1" applyBorder="1" applyAlignment="1" applyProtection="1">
      <alignment horizontal="right" vertical="center"/>
    </xf>
    <xf numFmtId="0" fontId="25" fillId="6" borderId="0" xfId="0" applyFont="1" applyFill="1" applyBorder="1" applyAlignment="1" applyProtection="1">
      <alignment horizontal="right" vertical="center"/>
    </xf>
    <xf numFmtId="2" fontId="25" fillId="6" borderId="11" xfId="0" applyNumberFormat="1" applyFont="1" applyFill="1" applyBorder="1" applyAlignment="1" applyProtection="1">
      <alignment horizontal="center" vertical="center"/>
    </xf>
    <xf numFmtId="2" fontId="25" fillId="6" borderId="12" xfId="0" applyNumberFormat="1" applyFont="1" applyFill="1" applyBorder="1" applyAlignment="1" applyProtection="1">
      <alignment horizontal="center" vertical="center"/>
    </xf>
    <xf numFmtId="167" fontId="41" fillId="5" borderId="0" xfId="0" applyNumberFormat="1" applyFont="1" applyFill="1" applyAlignment="1" applyProtection="1">
      <alignment horizontal="left" vertical="center" wrapText="1"/>
    </xf>
    <xf numFmtId="167" fontId="45" fillId="2" borderId="0" xfId="0" applyNumberFormat="1" applyFont="1" applyFill="1" applyAlignment="1" applyProtection="1">
      <alignment horizontal="left" vertical="center"/>
    </xf>
    <xf numFmtId="0" fontId="40" fillId="11" borderId="11" xfId="0" applyFont="1" applyFill="1" applyBorder="1" applyAlignment="1" applyProtection="1">
      <alignment horizontal="center" vertical="center"/>
    </xf>
    <xf numFmtId="0" fontId="40" fillId="11" borderId="14" xfId="0" applyFont="1" applyFill="1" applyBorder="1" applyAlignment="1" applyProtection="1">
      <alignment horizontal="center" vertical="center"/>
    </xf>
    <xf numFmtId="0" fontId="40" fillId="11" borderId="12" xfId="0" applyFont="1" applyFill="1" applyBorder="1" applyAlignment="1" applyProtection="1">
      <alignment horizontal="center" vertical="center"/>
    </xf>
    <xf numFmtId="169" fontId="4" fillId="6" borderId="0" xfId="0" applyNumberFormat="1" applyFont="1" applyFill="1" applyBorder="1" applyAlignment="1" applyProtection="1">
      <alignment horizontal="left" vertical="center" wrapText="1"/>
    </xf>
    <xf numFmtId="169" fontId="4" fillId="6" borderId="13" xfId="0" applyNumberFormat="1" applyFont="1" applyFill="1" applyBorder="1" applyAlignment="1" applyProtection="1">
      <alignment horizontal="left" vertical="center" wrapText="1"/>
    </xf>
    <xf numFmtId="0" fontId="46" fillId="6" borderId="18" xfId="0" applyFont="1" applyFill="1" applyBorder="1" applyAlignment="1" applyProtection="1">
      <alignment horizontal="center"/>
    </xf>
    <xf numFmtId="0" fontId="46" fillId="6" borderId="19" xfId="0" applyFont="1" applyFill="1" applyBorder="1" applyAlignment="1" applyProtection="1">
      <alignment horizontal="center"/>
    </xf>
    <xf numFmtId="0" fontId="46" fillId="6" borderId="24" xfId="0" applyFont="1" applyFill="1" applyBorder="1" applyAlignment="1" applyProtection="1">
      <alignment horizontal="center"/>
    </xf>
    <xf numFmtId="0" fontId="49" fillId="6" borderId="18" xfId="0" applyFont="1" applyFill="1" applyBorder="1" applyAlignment="1">
      <alignment horizontal="left"/>
    </xf>
    <xf numFmtId="0" fontId="49" fillId="6" borderId="19" xfId="0" applyFont="1" applyFill="1" applyBorder="1" applyAlignment="1">
      <alignment horizontal="left"/>
    </xf>
    <xf numFmtId="0" fontId="47" fillId="6" borderId="0" xfId="0" applyFont="1" applyFill="1" applyBorder="1" applyAlignment="1" applyProtection="1">
      <alignment horizontal="center" vertical="top" wrapText="1"/>
    </xf>
    <xf numFmtId="0" fontId="42" fillId="3" borderId="25" xfId="0" applyFont="1" applyFill="1" applyBorder="1" applyAlignment="1" applyProtection="1">
      <alignment horizontal="center" vertical="center" wrapText="1"/>
    </xf>
    <xf numFmtId="0" fontId="42" fillId="3" borderId="26" xfId="0" applyFont="1" applyFill="1" applyBorder="1" applyAlignment="1" applyProtection="1">
      <alignment horizontal="center" vertical="center" wrapText="1"/>
    </xf>
    <xf numFmtId="0" fontId="42" fillId="3" borderId="27" xfId="0" applyFont="1" applyFill="1" applyBorder="1" applyAlignment="1" applyProtection="1">
      <alignment horizontal="center" vertical="center" wrapText="1"/>
    </xf>
    <xf numFmtId="0" fontId="46" fillId="0" borderId="3" xfId="0" applyFont="1" applyFill="1" applyBorder="1" applyAlignment="1" applyProtection="1">
      <alignment horizontal="center" vertical="center" wrapText="1"/>
    </xf>
    <xf numFmtId="0" fontId="46" fillId="0" borderId="0" xfId="0" applyFont="1" applyFill="1" applyBorder="1" applyAlignment="1" applyProtection="1">
      <alignment horizontal="center" vertical="center" wrapText="1"/>
    </xf>
    <xf numFmtId="0" fontId="4" fillId="6" borderId="13" xfId="0" applyFont="1" applyFill="1" applyBorder="1" applyAlignment="1" applyProtection="1">
      <alignment horizontal="center"/>
      <protection locked="0"/>
    </xf>
    <xf numFmtId="0" fontId="36" fillId="6" borderId="26" xfId="0" applyFont="1" applyFill="1" applyBorder="1" applyAlignment="1" applyProtection="1">
      <alignment horizontal="center" wrapText="1"/>
      <protection locked="0"/>
    </xf>
    <xf numFmtId="14" fontId="36" fillId="6" borderId="3" xfId="0" applyNumberFormat="1" applyFont="1" applyFill="1" applyBorder="1" applyAlignment="1" applyProtection="1">
      <alignment horizontal="center" shrinkToFit="1"/>
      <protection locked="0"/>
    </xf>
    <xf numFmtId="0" fontId="14" fillId="6" borderId="13" xfId="0" applyFont="1" applyFill="1" applyBorder="1" applyAlignment="1" applyProtection="1">
      <alignment horizontal="center" vertical="center" wrapText="1"/>
    </xf>
    <xf numFmtId="49" fontId="42" fillId="4" borderId="32" xfId="0" applyNumberFormat="1" applyFont="1" applyFill="1" applyBorder="1" applyAlignment="1" applyProtection="1">
      <alignment horizontal="left" vertical="center" textRotation="90" wrapText="1" shrinkToFit="1"/>
    </xf>
    <xf numFmtId="49" fontId="42" fillId="4" borderId="33" xfId="0" applyNumberFormat="1" applyFont="1" applyFill="1" applyBorder="1" applyAlignment="1" applyProtection="1">
      <alignment horizontal="left" vertical="center" textRotation="90" shrinkToFit="1"/>
    </xf>
    <xf numFmtId="49" fontId="42" fillId="4" borderId="17" xfId="0" applyNumberFormat="1" applyFont="1" applyFill="1" applyBorder="1" applyAlignment="1" applyProtection="1">
      <alignment horizontal="left" vertical="center" textRotation="90" shrinkToFit="1"/>
    </xf>
    <xf numFmtId="49" fontId="61" fillId="4" borderId="32" xfId="0" applyNumberFormat="1" applyFont="1" applyFill="1" applyBorder="1" applyAlignment="1" applyProtection="1">
      <alignment horizontal="left" vertical="center" textRotation="90" wrapText="1" shrinkToFit="1"/>
    </xf>
    <xf numFmtId="49" fontId="61" fillId="4" borderId="33" xfId="0" applyNumberFormat="1" applyFont="1" applyFill="1" applyBorder="1" applyAlignment="1" applyProtection="1">
      <alignment horizontal="left" vertical="center" textRotation="90" shrinkToFit="1"/>
    </xf>
    <xf numFmtId="49" fontId="61" fillId="4" borderId="17" xfId="0" applyNumberFormat="1" applyFont="1" applyFill="1" applyBorder="1" applyAlignment="1" applyProtection="1">
      <alignment horizontal="left" vertical="center" textRotation="90" shrinkToFit="1"/>
    </xf>
    <xf numFmtId="49" fontId="37" fillId="4" borderId="1" xfId="0" applyNumberFormat="1" applyFont="1" applyFill="1" applyBorder="1" applyAlignment="1" applyProtection="1">
      <alignment horizontal="left" vertical="center" textRotation="90" shrinkToFit="1"/>
    </xf>
    <xf numFmtId="49" fontId="37" fillId="4" borderId="32" xfId="0" applyNumberFormat="1" applyFont="1" applyFill="1" applyBorder="1" applyAlignment="1" applyProtection="1">
      <alignment horizontal="left" vertical="center" textRotation="90" shrinkToFit="1"/>
    </xf>
    <xf numFmtId="0" fontId="0" fillId="17" borderId="0" xfId="0" applyFill="1" applyAlignment="1">
      <alignment horizontal="center"/>
    </xf>
    <xf numFmtId="14" fontId="2" fillId="17" borderId="0" xfId="0" applyNumberFormat="1" applyFont="1" applyFill="1"/>
  </cellXfs>
  <cellStyles count="1">
    <cellStyle name="Normal" xfId="0" builtinId="0"/>
  </cellStyles>
  <dxfs count="300">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ont>
        <color theme="1" tint="0.14996795556505021"/>
      </font>
      <fill>
        <patternFill>
          <bgColor theme="1" tint="0.14996795556505021"/>
        </patternFill>
      </fill>
    </dxf>
    <dxf>
      <fill>
        <patternFill>
          <bgColor theme="2" tint="-0.499984740745262"/>
        </patternFill>
      </fill>
      <border>
        <vertical/>
        <horizontal/>
      </border>
    </dxf>
    <dxf>
      <fill>
        <patternFill>
          <bgColor theme="0" tint="-0.24994659260841701"/>
        </patternFill>
      </fill>
    </dxf>
    <dxf>
      <fill>
        <patternFill>
          <bgColor rgb="FFFF99FF"/>
        </patternFill>
      </fill>
    </dxf>
    <dxf>
      <fill>
        <patternFill>
          <bgColor theme="0" tint="-0.24994659260841701"/>
        </patternFill>
      </fill>
    </dxf>
    <dxf>
      <fill>
        <patternFill>
          <bgColor rgb="FFFF99FF"/>
        </patternFill>
      </fill>
    </dxf>
    <dxf>
      <fill>
        <patternFill>
          <bgColor theme="0" tint="-0.24994659260841701"/>
        </patternFill>
      </fill>
    </dxf>
    <dxf>
      <fill>
        <patternFill>
          <bgColor rgb="FFFF99FF"/>
        </patternFill>
      </fill>
    </dxf>
    <dxf>
      <fill>
        <patternFill>
          <bgColor theme="0" tint="-0.24994659260841701"/>
        </patternFill>
      </fill>
    </dxf>
    <dxf>
      <fill>
        <patternFill>
          <bgColor rgb="FFFF99FF"/>
        </patternFill>
      </fill>
    </dxf>
    <dxf>
      <fill>
        <patternFill>
          <bgColor theme="0" tint="-0.24994659260841701"/>
        </patternFill>
      </fill>
    </dxf>
    <dxf>
      <fill>
        <patternFill>
          <bgColor rgb="FFFF99FF"/>
        </patternFill>
      </fill>
    </dxf>
    <dxf>
      <fill>
        <patternFill>
          <bgColor theme="0" tint="-0.24994659260841701"/>
        </patternFill>
      </fill>
    </dxf>
    <dxf>
      <fill>
        <patternFill>
          <bgColor rgb="FFFF99FF"/>
        </patternFill>
      </fill>
    </dxf>
    <dxf>
      <fill>
        <patternFill>
          <bgColor theme="0" tint="-0.24994659260841701"/>
        </patternFill>
      </fill>
    </dxf>
    <dxf>
      <fill>
        <patternFill>
          <bgColor rgb="FFFF99FF"/>
        </patternFill>
      </fill>
    </dxf>
    <dxf>
      <fill>
        <patternFill>
          <bgColor theme="0" tint="-0.24994659260841701"/>
        </patternFill>
      </fill>
    </dxf>
    <dxf>
      <fill>
        <patternFill>
          <bgColor rgb="FFFF99FF"/>
        </patternFill>
      </fill>
    </dxf>
    <dxf>
      <fill>
        <patternFill>
          <bgColor theme="0" tint="-0.24994659260841701"/>
        </patternFill>
      </fill>
    </dxf>
    <dxf>
      <fill>
        <patternFill>
          <bgColor rgb="FFFF99FF"/>
        </patternFill>
      </fill>
    </dxf>
    <dxf>
      <fill>
        <patternFill>
          <bgColor theme="0" tint="-0.24994659260841701"/>
        </patternFill>
      </fill>
    </dxf>
    <dxf>
      <fill>
        <patternFill>
          <bgColor rgb="FFFF99FF"/>
        </patternFill>
      </fill>
    </dxf>
    <dxf>
      <fill>
        <patternFill>
          <bgColor theme="0" tint="-0.24994659260841701"/>
        </patternFill>
      </fill>
    </dxf>
    <dxf>
      <fill>
        <patternFill>
          <bgColor rgb="FFFF99FF"/>
        </patternFill>
      </fill>
    </dxf>
    <dxf>
      <fill>
        <patternFill>
          <bgColor theme="0" tint="-0.24994659260841701"/>
        </patternFill>
      </fill>
    </dxf>
    <dxf>
      <fill>
        <patternFill>
          <bgColor rgb="FFFF99FF"/>
        </patternFill>
      </fill>
    </dxf>
    <dxf>
      <font>
        <color auto="1"/>
      </font>
      <fill>
        <patternFill>
          <bgColor rgb="FFFF99FF"/>
        </patternFill>
      </fill>
    </dxf>
    <dxf>
      <fill>
        <patternFill>
          <bgColor theme="0" tint="-0.24994659260841701"/>
        </patternFill>
      </fill>
    </dxf>
    <dxf>
      <font>
        <color theme="9"/>
      </font>
    </dxf>
    <dxf>
      <font>
        <b/>
        <i val="0"/>
        <color rgb="FFFF0000"/>
      </font>
    </dxf>
    <dxf>
      <fill>
        <patternFill>
          <bgColor rgb="FFFF99FF"/>
        </patternFill>
      </fill>
    </dxf>
    <dxf>
      <fill>
        <patternFill>
          <bgColor theme="5" tint="-0.24994659260841701"/>
        </patternFill>
      </fill>
    </dxf>
    <dxf>
      <fill>
        <patternFill>
          <bgColor theme="5" tint="-0.24994659260841701"/>
        </patternFill>
      </fill>
    </dxf>
    <dxf>
      <fill>
        <patternFill>
          <bgColor rgb="FF92D050"/>
        </patternFill>
      </fill>
    </dxf>
    <dxf>
      <fill>
        <patternFill>
          <bgColor rgb="FFFFC000"/>
        </patternFill>
      </fill>
    </dxf>
    <dxf>
      <fill>
        <patternFill>
          <bgColor theme="0" tint="-0.24994659260841701"/>
        </patternFill>
      </fill>
    </dxf>
    <dxf>
      <fill>
        <patternFill>
          <bgColor theme="0" tint="-0.24994659260841701"/>
        </patternFill>
      </fill>
    </dxf>
    <dxf>
      <fill>
        <patternFill>
          <bgColor rgb="FFFF99FF"/>
        </patternFill>
      </fill>
    </dxf>
    <dxf>
      <fill>
        <patternFill>
          <bgColor rgb="FF0070C0"/>
        </patternFill>
      </fill>
    </dxf>
    <dxf>
      <fill>
        <patternFill>
          <bgColor rgb="FF00B050"/>
        </patternFill>
      </fill>
    </dxf>
    <dxf>
      <font>
        <color theme="0"/>
      </font>
      <fill>
        <patternFill>
          <bgColor theme="0"/>
        </patternFill>
      </fill>
      <border>
        <bottom/>
        <vertical/>
        <horizontal/>
      </border>
    </dxf>
    <dxf>
      <font>
        <color theme="0"/>
      </font>
      <fill>
        <patternFill>
          <bgColor theme="0"/>
        </patternFill>
      </fill>
      <border>
        <vertical/>
        <horizontal/>
      </border>
    </dxf>
    <dxf>
      <font>
        <color theme="0"/>
      </font>
      <fill>
        <patternFill>
          <bgColor theme="0"/>
        </patternFill>
      </fill>
      <border>
        <bottom/>
        <vertical/>
        <horizontal/>
      </border>
    </dxf>
    <dxf>
      <font>
        <color theme="0"/>
      </font>
      <fill>
        <patternFill>
          <bgColor theme="0"/>
        </patternFill>
      </fill>
      <border>
        <vertical/>
        <horizontal/>
      </border>
    </dxf>
    <dxf>
      <font>
        <color rgb="FFFF0000"/>
      </font>
    </dxf>
    <dxf>
      <font>
        <color theme="0"/>
      </font>
    </dxf>
    <dxf>
      <font>
        <color rgb="FFFF0000"/>
      </font>
    </dxf>
    <dxf>
      <font>
        <color rgb="FFFF0000"/>
      </font>
    </dxf>
    <dxf>
      <font>
        <color theme="0"/>
      </font>
    </dxf>
    <dxf>
      <font>
        <color theme="0"/>
      </font>
      <fill>
        <patternFill>
          <bgColor theme="0"/>
        </patternFill>
      </fill>
      <border>
        <left/>
        <right/>
        <bottom/>
        <vertical/>
        <horizontal/>
      </border>
    </dxf>
    <dxf>
      <font>
        <color theme="0"/>
      </font>
      <fill>
        <patternFill>
          <bgColor theme="0"/>
        </patternFill>
      </fill>
      <border>
        <left/>
        <bottom/>
        <vertical/>
        <horizontal/>
      </border>
    </dxf>
    <dxf>
      <fill>
        <patternFill>
          <bgColor theme="7" tint="0.79998168889431442"/>
        </patternFill>
      </fill>
    </dxf>
    <dxf>
      <font>
        <color theme="0"/>
      </font>
      <fill>
        <patternFill>
          <bgColor theme="0"/>
        </patternFill>
      </fill>
      <border>
        <left/>
        <bottom/>
        <vertical/>
        <horizontal/>
      </border>
    </dxf>
    <dxf>
      <font>
        <color rgb="FFFF0000"/>
      </font>
    </dxf>
    <dxf>
      <font>
        <color rgb="FFFF0000"/>
      </font>
    </dxf>
    <dxf>
      <fill>
        <patternFill>
          <bgColor theme="7" tint="0.79998168889431442"/>
        </patternFill>
      </fill>
    </dxf>
    <dxf>
      <font>
        <color rgb="FFFF0000"/>
      </font>
    </dxf>
    <dxf>
      <font>
        <color theme="0"/>
      </font>
    </dxf>
    <dxf>
      <font>
        <color theme="0"/>
      </font>
      <fill>
        <patternFill>
          <bgColor theme="0"/>
        </patternFill>
      </fill>
      <border>
        <left/>
        <right/>
        <bottom/>
        <vertical/>
        <horizontal/>
      </border>
    </dxf>
    <dxf>
      <font>
        <color theme="9"/>
      </font>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dxf>
    <dxf>
      <font>
        <color theme="0"/>
      </font>
    </dxf>
    <dxf>
      <font>
        <b/>
        <i val="0"/>
        <strike val="0"/>
        <color rgb="FFC00000"/>
      </font>
      <border>
        <left/>
        <right/>
        <top/>
        <bottom/>
      </border>
    </dxf>
    <dxf>
      <fill>
        <patternFill>
          <bgColor theme="7" tint="0.79998168889431442"/>
        </patternFill>
      </fill>
    </dxf>
    <dxf>
      <fill>
        <patternFill>
          <bgColor theme="1" tint="0.14996795556505021"/>
        </patternFill>
      </fill>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ill>
        <patternFill>
          <bgColor theme="7" tint="0.79998168889431442"/>
        </patternFill>
      </fill>
    </dxf>
    <dxf>
      <fill>
        <patternFill>
          <bgColor theme="1" tint="0.14996795556505021"/>
        </patternFill>
      </fill>
    </dxf>
    <dxf>
      <fill>
        <patternFill>
          <bgColor theme="2" tint="-0.499984740745262"/>
        </patternFill>
      </fill>
      <border>
        <vertical/>
        <horizontal/>
      </border>
    </dxf>
    <dxf>
      <fill>
        <patternFill>
          <bgColor theme="1" tint="0.14996795556505021"/>
        </patternFill>
      </fill>
    </dxf>
    <dxf>
      <fill>
        <patternFill>
          <bgColor theme="2" tint="-0.499984740745262"/>
        </patternFill>
      </fill>
      <border>
        <vertical/>
        <horizontal/>
      </border>
    </dxf>
    <dxf>
      <font>
        <color theme="1" tint="0.14996795556505021"/>
      </font>
      <fill>
        <patternFill>
          <bgColor theme="1" tint="0.14996795556505021"/>
        </patternFill>
      </fill>
    </dxf>
    <dxf>
      <fill>
        <patternFill>
          <bgColor theme="2" tint="-0.499984740745262"/>
        </patternFill>
      </fill>
      <border>
        <vertical/>
        <horizontal/>
      </border>
    </dxf>
    <dxf>
      <fill>
        <patternFill>
          <bgColor theme="1" tint="0.14996795556505021"/>
        </patternFill>
      </fill>
    </dxf>
    <dxf>
      <fill>
        <patternFill>
          <bgColor theme="2" tint="-0.499984740745262"/>
        </patternFill>
      </fill>
      <border>
        <vertical/>
        <horizontal/>
      </border>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E4"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57150</xdr:colOff>
          <xdr:row>1</xdr:row>
          <xdr:rowOff>95250</xdr:rowOff>
        </xdr:from>
        <xdr:to>
          <xdr:col>30</xdr:col>
          <xdr:colOff>171450</xdr:colOff>
          <xdr:row>1</xdr:row>
          <xdr:rowOff>295275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After beginning of school year?</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J23"/>
  <sheetViews>
    <sheetView showGridLines="0" tabSelected="1" showRuler="0" view="pageLayout" zoomScaleNormal="100" workbookViewId="0">
      <selection sqref="A1:I1"/>
    </sheetView>
  </sheetViews>
  <sheetFormatPr defaultRowHeight="15" x14ac:dyDescent="0.25"/>
  <cols>
    <col min="6" max="6" width="12.85546875" customWidth="1"/>
    <col min="7" max="7" width="10.5703125" bestFit="1" customWidth="1"/>
  </cols>
  <sheetData>
    <row r="1" spans="1:10" ht="18.75" x14ac:dyDescent="0.3">
      <c r="A1" s="189" t="s">
        <v>417</v>
      </c>
      <c r="B1" s="189"/>
      <c r="C1" s="189"/>
      <c r="D1" s="189"/>
      <c r="E1" s="189"/>
      <c r="F1" s="189"/>
      <c r="G1" s="189"/>
      <c r="H1" s="189"/>
      <c r="I1" s="189"/>
      <c r="J1" s="117"/>
    </row>
    <row r="2" spans="1:10" ht="38.25" customHeight="1" x14ac:dyDescent="0.25">
      <c r="A2" s="194" t="s">
        <v>442</v>
      </c>
      <c r="B2" s="194"/>
      <c r="C2" s="194"/>
      <c r="D2" s="194"/>
      <c r="E2" s="194"/>
      <c r="F2" s="194"/>
      <c r="G2" s="194"/>
      <c r="H2" s="194"/>
      <c r="I2" s="194"/>
    </row>
    <row r="3" spans="1:10" ht="49.5" customHeight="1" x14ac:dyDescent="0.25">
      <c r="A3" s="2" t="s">
        <v>33</v>
      </c>
      <c r="B3" s="191" t="s">
        <v>414</v>
      </c>
      <c r="C3" s="191"/>
      <c r="D3" s="191"/>
      <c r="E3" s="191"/>
      <c r="F3" s="191"/>
      <c r="G3" s="191"/>
      <c r="H3" s="191"/>
      <c r="I3" s="191"/>
    </row>
    <row r="4" spans="1:10" ht="15.75" x14ac:dyDescent="0.25">
      <c r="A4" s="3"/>
      <c r="B4" s="3"/>
      <c r="C4" s="4"/>
    </row>
    <row r="5" spans="1:10" ht="45.75" customHeight="1" x14ac:dyDescent="0.25">
      <c r="A5" s="2" t="s">
        <v>33</v>
      </c>
      <c r="B5" s="192" t="s">
        <v>477</v>
      </c>
      <c r="C5" s="193"/>
      <c r="D5" s="193"/>
      <c r="E5" s="193"/>
      <c r="F5" s="193"/>
      <c r="G5" s="193"/>
      <c r="H5" s="193"/>
      <c r="I5" s="193"/>
    </row>
    <row r="6" spans="1:10" ht="15.75" x14ac:dyDescent="0.25">
      <c r="A6" s="3"/>
      <c r="B6" s="3"/>
      <c r="C6" s="5"/>
    </row>
    <row r="7" spans="1:10" ht="35.450000000000003" customHeight="1" x14ac:dyDescent="0.25">
      <c r="A7" s="2" t="s">
        <v>33</v>
      </c>
      <c r="B7" s="196" t="s">
        <v>456</v>
      </c>
      <c r="C7" s="196"/>
      <c r="D7" s="196"/>
      <c r="E7" s="196"/>
      <c r="F7" s="196"/>
      <c r="G7" s="196"/>
      <c r="H7" s="196"/>
      <c r="I7" s="196"/>
    </row>
    <row r="8" spans="1:10" ht="15.75" x14ac:dyDescent="0.25">
      <c r="A8" s="3"/>
      <c r="B8" s="3"/>
      <c r="C8" s="5"/>
    </row>
    <row r="9" spans="1:10" ht="97.5" customHeight="1" x14ac:dyDescent="0.25">
      <c r="A9" s="2" t="s">
        <v>33</v>
      </c>
      <c r="B9" s="191" t="s">
        <v>37</v>
      </c>
      <c r="C9" s="191"/>
      <c r="D9" s="191"/>
      <c r="E9" s="191"/>
      <c r="F9" s="191"/>
      <c r="G9" s="191"/>
      <c r="H9" s="191"/>
      <c r="I9" s="191"/>
    </row>
    <row r="10" spans="1:10" ht="15.75" x14ac:dyDescent="0.25">
      <c r="A10" s="2"/>
      <c r="B10" s="6"/>
      <c r="C10" s="6"/>
    </row>
    <row r="11" spans="1:10" ht="15.75" x14ac:dyDescent="0.25">
      <c r="A11" s="7"/>
      <c r="B11" s="8" t="s">
        <v>34</v>
      </c>
      <c r="C11" s="7"/>
    </row>
    <row r="12" spans="1:10" ht="15.75" x14ac:dyDescent="0.25">
      <c r="B12" s="36" t="s">
        <v>66</v>
      </c>
      <c r="C12" s="134" t="s">
        <v>458</v>
      </c>
      <c r="F12" s="35" t="s">
        <v>449</v>
      </c>
      <c r="G12" s="135" t="s">
        <v>457</v>
      </c>
    </row>
    <row r="13" spans="1:10" ht="15.75" x14ac:dyDescent="0.25">
      <c r="B13" s="1"/>
      <c r="C13" s="134" t="s">
        <v>459</v>
      </c>
      <c r="G13" s="135" t="s">
        <v>460</v>
      </c>
    </row>
    <row r="14" spans="1:10" ht="15.75" hidden="1" x14ac:dyDescent="0.25">
      <c r="B14" s="1"/>
      <c r="C14" s="9"/>
      <c r="F14" s="35"/>
      <c r="G14" s="163"/>
    </row>
    <row r="15" spans="1:10" ht="15.75" hidden="1" x14ac:dyDescent="0.25">
      <c r="B15" s="1"/>
      <c r="C15" s="9"/>
      <c r="G15" s="163"/>
    </row>
    <row r="16" spans="1:10" ht="18.75" x14ac:dyDescent="0.25">
      <c r="A16" s="10" t="s">
        <v>35</v>
      </c>
      <c r="B16" s="10"/>
      <c r="C16" s="11"/>
    </row>
    <row r="17" spans="1:9" ht="15.75" x14ac:dyDescent="0.25">
      <c r="A17" s="12"/>
      <c r="B17" s="13"/>
    </row>
    <row r="18" spans="1:9" ht="26.25" customHeight="1" x14ac:dyDescent="0.25">
      <c r="A18" s="12"/>
      <c r="B18" s="195" t="s">
        <v>441</v>
      </c>
      <c r="C18" s="195"/>
      <c r="D18" s="195"/>
      <c r="E18" s="195"/>
      <c r="F18" s="195"/>
      <c r="G18" s="195"/>
      <c r="H18" s="195"/>
      <c r="I18" s="195"/>
    </row>
    <row r="19" spans="1:9" ht="15.75" x14ac:dyDescent="0.25">
      <c r="A19" s="12"/>
      <c r="B19" s="13" t="s">
        <v>93</v>
      </c>
    </row>
    <row r="20" spans="1:9" ht="15.75" x14ac:dyDescent="0.25">
      <c r="A20" s="1"/>
      <c r="B20" s="13" t="s">
        <v>90</v>
      </c>
    </row>
    <row r="21" spans="1:9" ht="33" customHeight="1" x14ac:dyDescent="0.25">
      <c r="A21" s="1"/>
      <c r="B21" s="195" t="s">
        <v>443</v>
      </c>
      <c r="C21" s="195"/>
      <c r="D21" s="195"/>
      <c r="E21" s="195"/>
      <c r="F21" s="195"/>
      <c r="G21" s="195"/>
      <c r="H21" s="195"/>
      <c r="I21" s="195"/>
    </row>
    <row r="22" spans="1:9" x14ac:dyDescent="0.25">
      <c r="A22" s="1"/>
      <c r="B22" s="1"/>
    </row>
    <row r="23" spans="1:9" ht="48" customHeight="1" x14ac:dyDescent="0.25">
      <c r="A23" s="190" t="s">
        <v>36</v>
      </c>
      <c r="B23" s="190"/>
      <c r="C23" s="190"/>
      <c r="D23" s="190"/>
      <c r="E23" s="190"/>
      <c r="F23" s="190"/>
      <c r="G23" s="190"/>
      <c r="H23" s="190"/>
      <c r="I23" s="190"/>
    </row>
  </sheetData>
  <sheetProtection algorithmName="SHA-512" hashValue="JG0KywQ4gchzh+pfrgq77UbnSdf7bJWreMSsnWbhLEM9uEPnusNmowpmDwZ4Ulj6ubyYk8e9392kwmKivd6Shw==" saltValue="tfbKgJ8LrLGiv/LWGrO8WA==" spinCount="100000" sheet="1" selectLockedCells="1"/>
  <mergeCells count="9">
    <mergeCell ref="A1:I1"/>
    <mergeCell ref="A23:I23"/>
    <mergeCell ref="B3:I3"/>
    <mergeCell ref="B5:I5"/>
    <mergeCell ref="B9:I9"/>
    <mergeCell ref="A2:I2"/>
    <mergeCell ref="B18:I18"/>
    <mergeCell ref="B21:I21"/>
    <mergeCell ref="B7:I7"/>
  </mergeCells>
  <pageMargins left="0.7" right="0.7" top="0.75" bottom="0.75" header="0.3" footer="0.3"/>
  <pageSetup fitToWidth="0"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29"/>
  <sheetViews>
    <sheetView showGridLines="0" view="pageLayout" zoomScale="80" zoomScaleNormal="100" zoomScalePageLayoutView="80" workbookViewId="0">
      <selection activeCell="B2" sqref="B2:M2"/>
    </sheetView>
  </sheetViews>
  <sheetFormatPr defaultRowHeight="21" x14ac:dyDescent="0.25"/>
  <cols>
    <col min="1" max="1" width="2.85546875" customWidth="1"/>
    <col min="2" max="2" width="4" style="172" customWidth="1"/>
    <col min="3" max="3" width="5.28515625" customWidth="1"/>
    <col min="4" max="28" width="5.140625" customWidth="1"/>
    <col min="29" max="29" width="5.5703125" customWidth="1"/>
    <col min="30" max="31" width="5.140625" customWidth="1"/>
    <col min="32" max="32" width="5.85546875" customWidth="1"/>
    <col min="33" max="34" width="5.140625" customWidth="1"/>
    <col min="35" max="35" width="8.28515625" customWidth="1"/>
    <col min="36" max="36" width="3.140625" style="93" customWidth="1"/>
  </cols>
  <sheetData>
    <row r="1" spans="1:36" ht="33.75" customHeight="1" thickBot="1" x14ac:dyDescent="0.4">
      <c r="A1" s="136"/>
      <c r="B1" s="227" t="s">
        <v>61</v>
      </c>
      <c r="C1" s="228"/>
      <c r="D1" s="228"/>
      <c r="E1" s="228"/>
      <c r="F1" s="256" t="s">
        <v>54</v>
      </c>
      <c r="G1" s="256"/>
      <c r="H1" s="256"/>
      <c r="I1" s="256"/>
      <c r="J1" s="229" t="s">
        <v>444</v>
      </c>
      <c r="K1" s="230"/>
      <c r="L1" s="230"/>
      <c r="M1" s="230"/>
      <c r="N1" s="230"/>
      <c r="O1" s="230"/>
      <c r="P1" s="230"/>
      <c r="Q1" s="230"/>
      <c r="R1" s="230"/>
      <c r="S1" s="230"/>
      <c r="T1" s="230"/>
      <c r="U1" s="230"/>
      <c r="V1" s="230"/>
      <c r="W1" s="230"/>
      <c r="X1" s="230"/>
      <c r="Y1" s="230"/>
      <c r="Z1" s="230"/>
      <c r="AA1" s="231"/>
      <c r="AB1" s="246" t="s">
        <v>447</v>
      </c>
      <c r="AC1" s="246"/>
      <c r="AD1" s="249"/>
      <c r="AE1" s="249"/>
      <c r="AF1" s="249"/>
      <c r="AG1" s="249"/>
      <c r="AH1" s="249"/>
      <c r="AI1" s="249"/>
      <c r="AJ1" s="137"/>
    </row>
    <row r="2" spans="1:36" ht="27.75" customHeight="1" x14ac:dyDescent="0.35">
      <c r="A2" s="138"/>
      <c r="B2" s="239"/>
      <c r="C2" s="239"/>
      <c r="D2" s="239"/>
      <c r="E2" s="239"/>
      <c r="F2" s="239"/>
      <c r="G2" s="239"/>
      <c r="H2" s="239"/>
      <c r="I2" s="239"/>
      <c r="J2" s="239"/>
      <c r="K2" s="239"/>
      <c r="L2" s="239"/>
      <c r="M2" s="239"/>
      <c r="N2" s="14"/>
      <c r="O2" s="29"/>
      <c r="P2" s="280"/>
      <c r="Q2" s="280"/>
      <c r="R2" s="280"/>
      <c r="S2" s="280"/>
      <c r="T2" s="280"/>
      <c r="U2" s="280"/>
      <c r="V2" s="280"/>
      <c r="W2" s="280"/>
      <c r="X2" s="280"/>
      <c r="Y2" s="280"/>
      <c r="Z2" s="15"/>
      <c r="AA2" s="15"/>
      <c r="AB2" s="15"/>
      <c r="AC2" s="127" t="e">
        <f>VLOOKUP(P2,Sheet1!AM2:AN109,3,FALSE)</f>
        <v>#N/A</v>
      </c>
      <c r="AD2" s="15"/>
      <c r="AE2" s="139"/>
      <c r="AF2" s="281"/>
      <c r="AG2" s="281"/>
      <c r="AH2" s="197"/>
      <c r="AI2" s="197"/>
      <c r="AJ2" s="140"/>
    </row>
    <row r="3" spans="1:36" ht="15.75" x14ac:dyDescent="0.25">
      <c r="A3" s="138"/>
      <c r="B3" s="234" t="s">
        <v>409</v>
      </c>
      <c r="C3" s="234"/>
      <c r="D3" s="234"/>
      <c r="E3" s="234"/>
      <c r="F3" s="30"/>
      <c r="G3" s="30"/>
      <c r="H3" s="30"/>
      <c r="I3" s="30"/>
      <c r="J3" s="30"/>
      <c r="K3" s="30"/>
      <c r="L3" s="30"/>
      <c r="M3" s="30"/>
      <c r="N3" s="31"/>
      <c r="O3" s="32"/>
      <c r="P3" s="234" t="s">
        <v>0</v>
      </c>
      <c r="Q3" s="234"/>
      <c r="R3" s="234"/>
      <c r="S3" s="234"/>
      <c r="T3" s="30"/>
      <c r="U3" s="30"/>
      <c r="V3" s="30"/>
      <c r="W3" s="30"/>
      <c r="X3" s="30"/>
      <c r="Y3" s="30"/>
      <c r="Z3" s="30"/>
      <c r="AA3" s="16"/>
      <c r="AB3" s="16"/>
      <c r="AC3" s="16"/>
      <c r="AD3" s="16"/>
      <c r="AE3" s="139"/>
      <c r="AF3" s="92" t="s">
        <v>1</v>
      </c>
      <c r="AG3" s="27"/>
      <c r="AH3" s="198" t="str">
        <f>IF(AND(OR(AD1="Original",AD1=""),AE4=TRUE),"Hire Date","Effective Date")</f>
        <v>Effective Date</v>
      </c>
      <c r="AI3" s="198"/>
      <c r="AJ3" s="140"/>
    </row>
    <row r="4" spans="1:36" ht="16.5" customHeight="1" x14ac:dyDescent="0.25">
      <c r="A4" s="138"/>
      <c r="B4" s="166"/>
      <c r="C4" s="30"/>
      <c r="D4" s="30"/>
      <c r="E4" s="30"/>
      <c r="F4" s="30"/>
      <c r="G4" s="30"/>
      <c r="H4" s="30"/>
      <c r="I4" s="30"/>
      <c r="J4" s="30"/>
      <c r="K4" s="30"/>
      <c r="L4" s="30"/>
      <c r="M4" s="30"/>
      <c r="N4" s="29"/>
      <c r="O4" s="139"/>
      <c r="P4" s="139"/>
      <c r="Q4" s="29"/>
      <c r="R4" s="29"/>
      <c r="S4" s="30"/>
      <c r="T4" s="30"/>
      <c r="U4" s="30"/>
      <c r="V4" s="139"/>
      <c r="W4" s="139"/>
      <c r="X4" s="162"/>
      <c r="Y4" s="162"/>
      <c r="Z4" s="162"/>
      <c r="AA4" s="162"/>
      <c r="AB4" s="16"/>
      <c r="AC4" s="105"/>
      <c r="AD4" s="21" t="b">
        <v>0</v>
      </c>
      <c r="AE4" s="254" t="b">
        <v>0</v>
      </c>
      <c r="AF4" s="254"/>
      <c r="AG4" s="254"/>
      <c r="AH4" s="254"/>
      <c r="AI4" s="254"/>
      <c r="AJ4" s="140"/>
    </row>
    <row r="5" spans="1:36" ht="21.75" customHeight="1" x14ac:dyDescent="0.35">
      <c r="A5" s="138"/>
      <c r="B5" s="239"/>
      <c r="C5" s="239"/>
      <c r="D5" s="239"/>
      <c r="E5" s="239"/>
      <c r="F5" s="239"/>
      <c r="G5" s="239"/>
      <c r="H5" s="239"/>
      <c r="I5" s="239"/>
      <c r="J5" s="239"/>
      <c r="K5" s="239"/>
      <c r="L5" s="239"/>
      <c r="M5" s="239"/>
      <c r="N5" s="15"/>
      <c r="O5" s="253"/>
      <c r="P5" s="253"/>
      <c r="Q5" s="17"/>
      <c r="R5" s="251"/>
      <c r="S5" s="251"/>
      <c r="T5" s="18"/>
      <c r="U5" s="252"/>
      <c r="V5" s="252"/>
      <c r="W5" s="19"/>
      <c r="X5" s="243"/>
      <c r="Y5" s="243"/>
      <c r="Z5" s="20"/>
      <c r="AA5" s="255" t="e">
        <f>IF(AE4=TRUE,VLOOKUP(AH2,Sheet1!AD:AI,MATCH(O5,Sheet1!AD1:AI1,0),FALSE),HLOOKUP(O5,Sheet1!AD1:AI2,2,FALSE)-'Flex-Modified Calendar'!X5)</f>
        <v>#N/A</v>
      </c>
      <c r="AB5" s="255"/>
      <c r="AC5" s="131"/>
      <c r="AD5" s="255" t="e">
        <f>ROUNDUP(AC7,1)</f>
        <v>#DIV/0!</v>
      </c>
      <c r="AE5" s="255"/>
      <c r="AF5" s="120"/>
      <c r="AG5" s="120"/>
      <c r="AH5" s="120"/>
      <c r="AI5" s="120"/>
      <c r="AJ5" s="141"/>
    </row>
    <row r="6" spans="1:36" ht="14.25" customHeight="1" x14ac:dyDescent="0.25">
      <c r="A6" s="138"/>
      <c r="B6" s="234" t="s">
        <v>3</v>
      </c>
      <c r="C6" s="234"/>
      <c r="D6" s="234"/>
      <c r="E6" s="33"/>
      <c r="F6" s="33"/>
      <c r="G6" s="33"/>
      <c r="H6" s="33"/>
      <c r="I6" s="33"/>
      <c r="J6" s="33"/>
      <c r="K6" s="33"/>
      <c r="L6" s="33"/>
      <c r="M6" s="33"/>
      <c r="N6" s="33"/>
      <c r="O6" s="250" t="s">
        <v>2</v>
      </c>
      <c r="P6" s="250"/>
      <c r="Q6" s="34"/>
      <c r="R6" s="235" t="s">
        <v>4</v>
      </c>
      <c r="S6" s="236"/>
      <c r="T6" s="142"/>
      <c r="U6" s="238" t="s">
        <v>415</v>
      </c>
      <c r="V6" s="238"/>
      <c r="W6" s="139"/>
      <c r="X6" s="244" t="s">
        <v>432</v>
      </c>
      <c r="Y6" s="244"/>
      <c r="Z6" s="139"/>
      <c r="AA6" s="232" t="s">
        <v>38</v>
      </c>
      <c r="AB6" s="232"/>
      <c r="AC6" s="131"/>
      <c r="AD6" s="244" t="e">
        <f>IF(AD5=HLOOKUP(O5,Sheet1!AE1:AI2,2,FALSE),"Total Contract Days","Adjusted Contract Days")</f>
        <v>#DIV/0!</v>
      </c>
      <c r="AE6" s="244"/>
      <c r="AF6" s="139"/>
      <c r="AG6" s="139"/>
      <c r="AH6" s="139"/>
      <c r="AI6" s="139"/>
      <c r="AJ6" s="140"/>
    </row>
    <row r="7" spans="1:36" ht="32.450000000000003" customHeight="1" thickBot="1" x14ac:dyDescent="0.3">
      <c r="A7" s="143"/>
      <c r="B7" s="167"/>
      <c r="C7" s="144"/>
      <c r="D7" s="144"/>
      <c r="E7" s="144"/>
      <c r="F7" s="144"/>
      <c r="G7" s="144"/>
      <c r="H7" s="144"/>
      <c r="I7" s="144"/>
      <c r="J7" s="144"/>
      <c r="K7" s="144"/>
      <c r="L7" s="144"/>
      <c r="M7" s="144"/>
      <c r="N7" s="144"/>
      <c r="O7" s="282" t="s">
        <v>100</v>
      </c>
      <c r="P7" s="282"/>
      <c r="Q7" s="145"/>
      <c r="R7" s="237" t="s">
        <v>99</v>
      </c>
      <c r="S7" s="237"/>
      <c r="T7" s="146"/>
      <c r="U7" s="237" t="s">
        <v>99</v>
      </c>
      <c r="V7" s="237"/>
      <c r="W7" s="147"/>
      <c r="X7" s="245"/>
      <c r="Y7" s="245"/>
      <c r="Z7" s="147"/>
      <c r="AA7" s="233"/>
      <c r="AB7" s="233"/>
      <c r="AC7" s="148" t="e">
        <f>IF(B5="cota",1288*R5/U5,IF(AND(AE4=TRUE,R5=1,U5&gt;7.9),AA5,IF(AND(AE4=TRUE,OR(R5&lt;1,U5&lt;8)),((AA5*8)*R5)/U5,IF(OR(R5&lt;1,U5&lt;8),(1496*R5)/U5,HLOOKUP(O5,Sheet1!Q1:U2,2,FALSE))))-X5)</f>
        <v>#DIV/0!</v>
      </c>
      <c r="AD7" s="245"/>
      <c r="AE7" s="245"/>
      <c r="AF7" s="149"/>
      <c r="AG7" s="147"/>
      <c r="AH7" s="147"/>
      <c r="AI7" s="147"/>
      <c r="AJ7" s="150"/>
    </row>
    <row r="8" spans="1:36" ht="23.25" customHeight="1" x14ac:dyDescent="0.25">
      <c r="A8" s="95"/>
      <c r="B8" s="166"/>
      <c r="C8" s="30"/>
      <c r="D8" s="30"/>
      <c r="E8" s="30"/>
      <c r="F8" s="30"/>
      <c r="G8" s="30"/>
      <c r="H8" s="30"/>
      <c r="I8" s="30"/>
      <c r="J8" s="30"/>
      <c r="K8" s="30"/>
      <c r="L8" s="30"/>
      <c r="M8" s="30"/>
      <c r="N8" s="30"/>
      <c r="O8" s="30"/>
      <c r="P8" s="30"/>
      <c r="Q8" s="24"/>
      <c r="R8" s="151"/>
      <c r="S8" s="151"/>
      <c r="T8" s="27"/>
      <c r="U8" s="151"/>
      <c r="V8" s="151"/>
      <c r="W8" s="139"/>
      <c r="X8" s="152"/>
      <c r="Y8" s="152"/>
      <c r="Z8" s="139"/>
      <c r="AA8" s="153"/>
      <c r="AB8" s="153"/>
      <c r="AC8" s="154"/>
      <c r="AD8" s="152"/>
      <c r="AE8" s="152"/>
      <c r="AF8" s="16"/>
      <c r="AG8" s="139"/>
      <c r="AH8" s="139"/>
      <c r="AI8" s="139"/>
    </row>
    <row r="9" spans="1:36" s="41" customFormat="1" ht="15.75" customHeight="1" x14ac:dyDescent="0.25">
      <c r="A9" s="40"/>
      <c r="B9" s="289" t="s">
        <v>461</v>
      </c>
      <c r="C9" s="155"/>
      <c r="D9" s="107" t="str">
        <f>VLOOKUP(WEEKDAY(D10),Sheet1!$L$3:$M$9,2,FALSE)</f>
        <v>M</v>
      </c>
      <c r="E9" s="107" t="str">
        <f>VLOOKUP(WEEKDAY(E10),Sheet1!$L$3:$M$9,2,FALSE)</f>
        <v>T</v>
      </c>
      <c r="F9" s="107" t="str">
        <f>VLOOKUP(WEEKDAY(F10),Sheet1!$L$3:$M$9,2,FALSE)</f>
        <v>W</v>
      </c>
      <c r="G9" s="107" t="str">
        <f>VLOOKUP(WEEKDAY(G10),Sheet1!$L$3:$M$9,2,FALSE)</f>
        <v>R</v>
      </c>
      <c r="H9" s="107" t="str">
        <f>VLOOKUP(WEEKDAY(H10),Sheet1!$L$3:$M$9,2,FALSE)</f>
        <v>F</v>
      </c>
      <c r="I9" s="107" t="str">
        <f>VLOOKUP(WEEKDAY(I10),Sheet1!$L$3:$M$9,2,FALSE)</f>
        <v>S</v>
      </c>
      <c r="J9" s="107" t="str">
        <f>VLOOKUP(WEEKDAY(J10),Sheet1!$L$3:$M$9,2,FALSE)</f>
        <v>S</v>
      </c>
      <c r="K9" s="107" t="str">
        <f>VLOOKUP(WEEKDAY(K10),Sheet1!$L$3:$M$9,2,FALSE)</f>
        <v>M</v>
      </c>
      <c r="L9" s="107" t="str">
        <f>VLOOKUP(WEEKDAY(L10),Sheet1!$L$3:$M$9,2,FALSE)</f>
        <v>T</v>
      </c>
      <c r="M9" s="107" t="str">
        <f>VLOOKUP(WEEKDAY(M10),Sheet1!$L$3:$M$9,2,FALSE)</f>
        <v>W</v>
      </c>
      <c r="N9" s="107" t="str">
        <f>VLOOKUP(WEEKDAY(N10),Sheet1!$L$3:$M$9,2,FALSE)</f>
        <v>R</v>
      </c>
      <c r="O9" s="107" t="str">
        <f>VLOOKUP(WEEKDAY(O10),Sheet1!$L$3:$M$9,2,FALSE)</f>
        <v>F</v>
      </c>
      <c r="P9" s="107" t="str">
        <f>VLOOKUP(WEEKDAY(P10),Sheet1!$L$3:$M$9,2,FALSE)</f>
        <v>S</v>
      </c>
      <c r="Q9" s="107" t="str">
        <f>VLOOKUP(WEEKDAY(Q10),Sheet1!$L$3:$M$9,2,FALSE)</f>
        <v>S</v>
      </c>
      <c r="R9" s="107" t="str">
        <f>VLOOKUP(WEEKDAY(R10),Sheet1!$L$3:$M$9,2,FALSE)</f>
        <v>M</v>
      </c>
      <c r="S9" s="107" t="str">
        <f>VLOOKUP(WEEKDAY(S10),Sheet1!$L$3:$M$9,2,FALSE)</f>
        <v>T</v>
      </c>
      <c r="T9" s="107" t="str">
        <f>VLOOKUP(WEEKDAY(T10),Sheet1!$L$3:$M$9,2,FALSE)</f>
        <v>W</v>
      </c>
      <c r="U9" s="107" t="str">
        <f>VLOOKUP(WEEKDAY(U10),Sheet1!$L$3:$M$9,2,FALSE)</f>
        <v>R</v>
      </c>
      <c r="V9" s="107" t="str">
        <f>VLOOKUP(WEEKDAY(V10),Sheet1!$L$3:$M$9,2,FALSE)</f>
        <v>F</v>
      </c>
      <c r="W9" s="107" t="str">
        <f>VLOOKUP(WEEKDAY(W10),Sheet1!$L$3:$M$9,2,FALSE)</f>
        <v>S</v>
      </c>
      <c r="X9" s="107" t="str">
        <f>VLOOKUP(WEEKDAY(X10),Sheet1!$L$3:$M$9,2,FALSE)</f>
        <v>S</v>
      </c>
      <c r="Y9" s="107" t="str">
        <f>VLOOKUP(WEEKDAY(Y10),Sheet1!$L$3:$M$9,2,FALSE)</f>
        <v>M</v>
      </c>
      <c r="Z9" s="107" t="str">
        <f>VLOOKUP(WEEKDAY(Z10),Sheet1!$L$3:$M$9,2,FALSE)</f>
        <v>T</v>
      </c>
      <c r="AA9" s="107" t="str">
        <f>VLOOKUP(WEEKDAY(AA10),Sheet1!$L$3:$M$9,2,FALSE)</f>
        <v>W</v>
      </c>
      <c r="AB9" s="107" t="str">
        <f>VLOOKUP(WEEKDAY(AB10),Sheet1!$L$3:$M$9,2,FALSE)</f>
        <v>R</v>
      </c>
      <c r="AC9" s="107" t="str">
        <f>VLOOKUP(WEEKDAY(AC10),Sheet1!$L$3:$M$9,2,FALSE)</f>
        <v>F</v>
      </c>
      <c r="AD9" s="107" t="str">
        <f>VLOOKUP(WEEKDAY(AD10),Sheet1!$L$3:$M$9,2,FALSE)</f>
        <v>S</v>
      </c>
      <c r="AE9" s="107" t="str">
        <f>VLOOKUP(WEEKDAY(AE10),Sheet1!$L$3:$M$9,2,FALSE)</f>
        <v>S</v>
      </c>
      <c r="AF9" s="107" t="str">
        <f>VLOOKUP(WEEKDAY(AF10),Sheet1!$L$3:$M$9,2,FALSE)</f>
        <v>M</v>
      </c>
      <c r="AG9" s="107" t="str">
        <f>VLOOKUP(WEEKDAY(AG10),Sheet1!$L$3:$M$9,2,FALSE)</f>
        <v>T</v>
      </c>
      <c r="AH9" s="107" t="str">
        <f>VLOOKUP(WEEKDAY(AH10),Sheet1!$L$3:$M$9,2,FALSE)</f>
        <v>W</v>
      </c>
      <c r="AI9" s="247" t="s">
        <v>10</v>
      </c>
      <c r="AJ9" s="94"/>
    </row>
    <row r="10" spans="1:36" s="41" customFormat="1" ht="15.75" customHeight="1" x14ac:dyDescent="0.25">
      <c r="A10" s="40"/>
      <c r="B10" s="289"/>
      <c r="C10" s="155"/>
      <c r="D10" s="107">
        <f>DATE(BegCalYear,7,1)</f>
        <v>45474</v>
      </c>
      <c r="E10" s="107">
        <f>DATE(BegCalYear,7,2)</f>
        <v>45475</v>
      </c>
      <c r="F10" s="107">
        <f>DATE(BegCalYear,7,3)</f>
        <v>45476</v>
      </c>
      <c r="G10" s="107">
        <f>DATE(BegCalYear,7,4)</f>
        <v>45477</v>
      </c>
      <c r="H10" s="107">
        <f>DATE(BegCalYear,7,5)</f>
        <v>45478</v>
      </c>
      <c r="I10" s="107">
        <f>DATE(BegCalYear,7,6)</f>
        <v>45479</v>
      </c>
      <c r="J10" s="107">
        <f>DATE(BegCalYear,7,7)</f>
        <v>45480</v>
      </c>
      <c r="K10" s="107">
        <f>DATE(BegCalYear,7,8)</f>
        <v>45481</v>
      </c>
      <c r="L10" s="107">
        <f>DATE(BegCalYear,7,9)</f>
        <v>45482</v>
      </c>
      <c r="M10" s="107">
        <f>DATE(BegCalYear,7,10)</f>
        <v>45483</v>
      </c>
      <c r="N10" s="107">
        <f>DATE(BegCalYear,7,11)</f>
        <v>45484</v>
      </c>
      <c r="O10" s="107">
        <f>DATE(BegCalYear,7,12)</f>
        <v>45485</v>
      </c>
      <c r="P10" s="107">
        <f>DATE(BegCalYear,7,13)</f>
        <v>45486</v>
      </c>
      <c r="Q10" s="107">
        <f>DATE(BegCalYear,7,14)</f>
        <v>45487</v>
      </c>
      <c r="R10" s="107">
        <f>DATE(BegCalYear,7,15)</f>
        <v>45488</v>
      </c>
      <c r="S10" s="107">
        <f>DATE(BegCalYear,7,16)</f>
        <v>45489</v>
      </c>
      <c r="T10" s="107">
        <f>DATE(BegCalYear,7,17)</f>
        <v>45490</v>
      </c>
      <c r="U10" s="107">
        <f>DATE(BegCalYear,7,18)</f>
        <v>45491</v>
      </c>
      <c r="V10" s="107">
        <f>DATE(BegCalYear,7,19)</f>
        <v>45492</v>
      </c>
      <c r="W10" s="107">
        <f>DATE(BegCalYear,7,20)</f>
        <v>45493</v>
      </c>
      <c r="X10" s="107">
        <f>DATE(BegCalYear,7,21)</f>
        <v>45494</v>
      </c>
      <c r="Y10" s="107">
        <f>DATE(BegCalYear,7,22)</f>
        <v>45495</v>
      </c>
      <c r="Z10" s="107">
        <f>DATE(BegCalYear,7,23)</f>
        <v>45496</v>
      </c>
      <c r="AA10" s="107">
        <f>DATE(BegCalYear,7,24)</f>
        <v>45497</v>
      </c>
      <c r="AB10" s="107">
        <f>DATE(BegCalYear,7,25)</f>
        <v>45498</v>
      </c>
      <c r="AC10" s="107">
        <f>DATE(BegCalYear,7,26)</f>
        <v>45499</v>
      </c>
      <c r="AD10" s="107">
        <f>DATE(BegCalYear,7,27)</f>
        <v>45500</v>
      </c>
      <c r="AE10" s="107">
        <f>DATE(BegCalYear,7,28)</f>
        <v>45501</v>
      </c>
      <c r="AF10" s="107">
        <f>DATE(BegCalYear,7,29)</f>
        <v>45502</v>
      </c>
      <c r="AG10" s="107">
        <f>DATE(BegCalYear,7,30)</f>
        <v>45503</v>
      </c>
      <c r="AH10" s="107">
        <f>DATE(BegCalYear,7,31)</f>
        <v>45504</v>
      </c>
      <c r="AI10" s="248"/>
      <c r="AJ10" s="94"/>
    </row>
    <row r="11" spans="1:36" s="41" customFormat="1" ht="18" customHeight="1" x14ac:dyDescent="0.25">
      <c r="A11" s="40"/>
      <c r="B11" s="289"/>
      <c r="C11" s="155" t="s">
        <v>11</v>
      </c>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04">
        <f>SUM(COUNTIF(D11:AH11,"=c")+SUM(COUNTIF(D11:AH11,"=cc")/2)+SUM(D11:AH11))</f>
        <v>0</v>
      </c>
      <c r="AJ11" s="94"/>
    </row>
    <row r="12" spans="1:36" s="41" customFormat="1" ht="18" customHeight="1" x14ac:dyDescent="0.25">
      <c r="A12" s="40"/>
      <c r="B12" s="289"/>
      <c r="C12" s="158" t="s">
        <v>84</v>
      </c>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59">
        <f>SUM(COUNTIF(D12:AH12,"=p")+SUM(COUNTIF(D12:AH12,"=pp")/2))</f>
        <v>0</v>
      </c>
      <c r="AJ12" s="94"/>
    </row>
    <row r="13" spans="1:36" s="41" customFormat="1" ht="18" customHeight="1" x14ac:dyDescent="0.25">
      <c r="A13" s="40"/>
      <c r="B13" s="289"/>
      <c r="C13" s="160" t="s">
        <v>88</v>
      </c>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61">
        <f>SUM(COUNTIF(D13:AH13,"=pd")+SUM(COUNTIF(D13:AH13,"=ppdd")/2))</f>
        <v>0</v>
      </c>
      <c r="AJ13" s="94"/>
    </row>
    <row r="14" spans="1:36" s="41" customFormat="1" ht="18" customHeight="1" x14ac:dyDescent="0.25">
      <c r="A14" s="40"/>
      <c r="B14" s="289"/>
      <c r="C14" s="155" t="s">
        <v>13</v>
      </c>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7">
        <f>SUM(COUNTIF(D14:AH14,"=a")+SUM(COUNTIF(D14:AH14,"=aa")/2))</f>
        <v>0</v>
      </c>
      <c r="AJ14" s="94"/>
    </row>
    <row r="15" spans="1:36" s="41" customFormat="1" ht="6.75" customHeight="1" x14ac:dyDescent="0.25">
      <c r="A15" s="40"/>
      <c r="B15" s="169"/>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7"/>
      <c r="AJ15" s="94"/>
    </row>
    <row r="16" spans="1:36" s="41" customFormat="1" ht="15.75" customHeight="1" x14ac:dyDescent="0.25">
      <c r="A16" s="40"/>
      <c r="B16" s="290" t="s">
        <v>462</v>
      </c>
      <c r="C16" s="48"/>
      <c r="D16" s="107" t="str">
        <f>VLOOKUP(WEEKDAY(D17),Sheet1!$L$3:$M$9,2,FALSE)</f>
        <v>R</v>
      </c>
      <c r="E16" s="107" t="str">
        <f>VLOOKUP(WEEKDAY(E17),Sheet1!$L$3:$M$9,2,FALSE)</f>
        <v>F</v>
      </c>
      <c r="F16" s="107" t="str">
        <f>VLOOKUP(WEEKDAY(F17),Sheet1!$L$3:$M$9,2,FALSE)</f>
        <v>S</v>
      </c>
      <c r="G16" s="107" t="str">
        <f>VLOOKUP(WEEKDAY(G17),Sheet1!$L$3:$M$9,2,FALSE)</f>
        <v>S</v>
      </c>
      <c r="H16" s="107" t="str">
        <f>VLOOKUP(WEEKDAY(H17),Sheet1!$L$3:$M$9,2,FALSE)</f>
        <v>M</v>
      </c>
      <c r="I16" s="107" t="str">
        <f>VLOOKUP(WEEKDAY(I17),Sheet1!$L$3:$M$9,2,FALSE)</f>
        <v>T</v>
      </c>
      <c r="J16" s="107" t="str">
        <f>VLOOKUP(WEEKDAY(J17),Sheet1!$L$3:$M$9,2,FALSE)</f>
        <v>W</v>
      </c>
      <c r="K16" s="107" t="str">
        <f>VLOOKUP(WEEKDAY(K17),Sheet1!$L$3:$M$9,2,FALSE)</f>
        <v>R</v>
      </c>
      <c r="L16" s="107" t="str">
        <f>VLOOKUP(WEEKDAY(L17),Sheet1!$L$3:$M$9,2,FALSE)</f>
        <v>F</v>
      </c>
      <c r="M16" s="107" t="str">
        <f>VLOOKUP(WEEKDAY(M17),Sheet1!$L$3:$M$9,2,FALSE)</f>
        <v>S</v>
      </c>
      <c r="N16" s="107" t="str">
        <f>VLOOKUP(WEEKDAY(N17),Sheet1!$L$3:$M$9,2,FALSE)</f>
        <v>S</v>
      </c>
      <c r="O16" s="107" t="str">
        <f>VLOOKUP(WEEKDAY(O17),Sheet1!$L$3:$M$9,2,FALSE)</f>
        <v>M</v>
      </c>
      <c r="P16" s="107" t="str">
        <f>VLOOKUP(WEEKDAY(P17),Sheet1!$L$3:$M$9,2,FALSE)</f>
        <v>T</v>
      </c>
      <c r="Q16" s="107" t="str">
        <f>VLOOKUP(WEEKDAY(Q17),Sheet1!$L$3:$M$9,2,FALSE)</f>
        <v>W</v>
      </c>
      <c r="R16" s="107" t="str">
        <f>VLOOKUP(WEEKDAY(R17),Sheet1!$L$3:$M$9,2,FALSE)</f>
        <v>R</v>
      </c>
      <c r="S16" s="107" t="str">
        <f>VLOOKUP(WEEKDAY(S17),Sheet1!$L$3:$M$9,2,FALSE)</f>
        <v>F</v>
      </c>
      <c r="T16" s="107" t="str">
        <f>VLOOKUP(WEEKDAY(T17),Sheet1!$L$3:$M$9,2,FALSE)</f>
        <v>S</v>
      </c>
      <c r="U16" s="107" t="str">
        <f>VLOOKUP(WEEKDAY(U17),Sheet1!$L$3:$M$9,2,FALSE)</f>
        <v>S</v>
      </c>
      <c r="V16" s="107" t="str">
        <f>VLOOKUP(WEEKDAY(V17),Sheet1!$L$3:$M$9,2,FALSE)</f>
        <v>M</v>
      </c>
      <c r="W16" s="107" t="str">
        <f>VLOOKUP(WEEKDAY(W17),Sheet1!$L$3:$M$9,2,FALSE)</f>
        <v>T</v>
      </c>
      <c r="X16" s="107" t="str">
        <f>VLOOKUP(WEEKDAY(X17),Sheet1!$L$3:$M$9,2,FALSE)</f>
        <v>W</v>
      </c>
      <c r="Y16" s="107" t="str">
        <f>VLOOKUP(WEEKDAY(Y17),Sheet1!$L$3:$M$9,2,FALSE)</f>
        <v>R</v>
      </c>
      <c r="Z16" s="107" t="str">
        <f>VLOOKUP(WEEKDAY(Z17),Sheet1!$L$3:$M$9,2,FALSE)</f>
        <v>F</v>
      </c>
      <c r="AA16" s="107" t="str">
        <f>VLOOKUP(WEEKDAY(AA17),Sheet1!$L$3:$M$9,2,FALSE)</f>
        <v>S</v>
      </c>
      <c r="AB16" s="107" t="str">
        <f>VLOOKUP(WEEKDAY(AB17),Sheet1!$L$3:$M$9,2,FALSE)</f>
        <v>S</v>
      </c>
      <c r="AC16" s="107" t="str">
        <f>VLOOKUP(WEEKDAY(AC17),Sheet1!$L$3:$M$9,2,FALSE)</f>
        <v>M</v>
      </c>
      <c r="AD16" s="107" t="str">
        <f>VLOOKUP(WEEKDAY(AD17),Sheet1!$L$3:$M$9,2,FALSE)</f>
        <v>T</v>
      </c>
      <c r="AE16" s="107" t="str">
        <f>VLOOKUP(WEEKDAY(AE17),Sheet1!$L$3:$M$9,2,FALSE)</f>
        <v>W</v>
      </c>
      <c r="AF16" s="107" t="str">
        <f>VLOOKUP(WEEKDAY(AF17),Sheet1!$L$3:$M$9,2,FALSE)</f>
        <v>R</v>
      </c>
      <c r="AG16" s="107" t="str">
        <f>VLOOKUP(WEEKDAY(AG17),Sheet1!$L$3:$M$9,2,FALSE)</f>
        <v>F</v>
      </c>
      <c r="AH16" s="107" t="str">
        <f>VLOOKUP(WEEKDAY(AH17),Sheet1!$L$3:$M$9,2,FALSE)</f>
        <v>S</v>
      </c>
      <c r="AI16" s="200" t="s">
        <v>10</v>
      </c>
      <c r="AJ16" s="94"/>
    </row>
    <row r="17" spans="1:36" s="41" customFormat="1" ht="15.75" customHeight="1" x14ac:dyDescent="0.25">
      <c r="A17" s="40"/>
      <c r="B17" s="241"/>
      <c r="C17" s="48"/>
      <c r="D17" s="107">
        <f>DATE(BegCalYear,8,1)</f>
        <v>45505</v>
      </c>
      <c r="E17" s="107">
        <f>DATE(BegCalYear,8,2)</f>
        <v>45506</v>
      </c>
      <c r="F17" s="107">
        <f>DATE(BegCalYear,8,3)</f>
        <v>45507</v>
      </c>
      <c r="G17" s="107">
        <f>DATE(BegCalYear,8,4)</f>
        <v>45508</v>
      </c>
      <c r="H17" s="107">
        <f>DATE(BegCalYear,8,5)</f>
        <v>45509</v>
      </c>
      <c r="I17" s="107">
        <f>DATE(BegCalYear,8,6)</f>
        <v>45510</v>
      </c>
      <c r="J17" s="107">
        <f>DATE(BegCalYear,8,7)</f>
        <v>45511</v>
      </c>
      <c r="K17" s="107">
        <f>DATE(BegCalYear,8,8)</f>
        <v>45512</v>
      </c>
      <c r="L17" s="107">
        <f>DATE(BegCalYear,8,9)</f>
        <v>45513</v>
      </c>
      <c r="M17" s="107">
        <f>DATE(BegCalYear,8,10)</f>
        <v>45514</v>
      </c>
      <c r="N17" s="107">
        <f>DATE(BegCalYear,8,11)</f>
        <v>45515</v>
      </c>
      <c r="O17" s="107">
        <f>DATE(BegCalYear,8,12)</f>
        <v>45516</v>
      </c>
      <c r="P17" s="107">
        <f>DATE(BegCalYear,8,13)</f>
        <v>45517</v>
      </c>
      <c r="Q17" s="107">
        <f>DATE(BegCalYear,8,14)</f>
        <v>45518</v>
      </c>
      <c r="R17" s="107">
        <f>DATE(BegCalYear,8,15)</f>
        <v>45519</v>
      </c>
      <c r="S17" s="107">
        <f>DATE(BegCalYear,8,16)</f>
        <v>45520</v>
      </c>
      <c r="T17" s="107">
        <f>DATE(BegCalYear,8,17)</f>
        <v>45521</v>
      </c>
      <c r="U17" s="107">
        <f>DATE(BegCalYear,8,18)</f>
        <v>45522</v>
      </c>
      <c r="V17" s="107">
        <f>DATE(BegCalYear,8,19)</f>
        <v>45523</v>
      </c>
      <c r="W17" s="107">
        <f>DATE(BegCalYear,8,20)</f>
        <v>45524</v>
      </c>
      <c r="X17" s="107">
        <f>DATE(BegCalYear,8,21)</f>
        <v>45525</v>
      </c>
      <c r="Y17" s="107">
        <f>DATE(BegCalYear,8,22)</f>
        <v>45526</v>
      </c>
      <c r="Z17" s="107">
        <f>DATE(BegCalYear,8,23)</f>
        <v>45527</v>
      </c>
      <c r="AA17" s="107">
        <f>DATE(BegCalYear,8,24)</f>
        <v>45528</v>
      </c>
      <c r="AB17" s="107">
        <f>DATE(BegCalYear,8,25)</f>
        <v>45529</v>
      </c>
      <c r="AC17" s="107">
        <f>DATE(BegCalYear,8,26)</f>
        <v>45530</v>
      </c>
      <c r="AD17" s="107">
        <f>DATE(BegCalYear,8,27)</f>
        <v>45531</v>
      </c>
      <c r="AE17" s="107">
        <f>DATE(BegCalYear,8,28)</f>
        <v>45532</v>
      </c>
      <c r="AF17" s="107">
        <f>DATE(BegCalYear,8,29)</f>
        <v>45533</v>
      </c>
      <c r="AG17" s="107">
        <f>DATE(BegCalYear,8,30)</f>
        <v>45534</v>
      </c>
      <c r="AH17" s="107">
        <f>DATE(BegCalYear,8,31)</f>
        <v>45535</v>
      </c>
      <c r="AI17" s="202"/>
      <c r="AJ17" s="94"/>
    </row>
    <row r="18" spans="1:36" s="41" customFormat="1" ht="18" customHeight="1" x14ac:dyDescent="0.25">
      <c r="A18" s="40"/>
      <c r="B18" s="241"/>
      <c r="C18" s="42" t="s">
        <v>11</v>
      </c>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104">
        <f>SUM(COUNTIF(D18:AH18,"=c")+SUM(COUNTIF(D18:AH18,"=cc")/2)+SUM(D18:AH18))</f>
        <v>0</v>
      </c>
      <c r="AJ18" s="94"/>
    </row>
    <row r="19" spans="1:36" s="41" customFormat="1" ht="18" customHeight="1" x14ac:dyDescent="0.25">
      <c r="A19" s="40"/>
      <c r="B19" s="241"/>
      <c r="C19" s="111" t="s">
        <v>84</v>
      </c>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3">
        <f>SUM(COUNTIF(D19:AH19,"=p")+SUM(COUNTIF(D19:AH19,"=pp")/2))</f>
        <v>0</v>
      </c>
      <c r="AJ19" s="94"/>
    </row>
    <row r="20" spans="1:36" s="41" customFormat="1" ht="18" customHeight="1" x14ac:dyDescent="0.25">
      <c r="A20" s="40"/>
      <c r="B20" s="241"/>
      <c r="C20" s="128" t="s">
        <v>88</v>
      </c>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129">
        <f>SUM(COUNTIF(D20:AH20,"=pd")+SUM(COUNTIF(D20:AH20,"=ppdd")/2))</f>
        <v>0</v>
      </c>
      <c r="AJ20" s="94"/>
    </row>
    <row r="21" spans="1:36" s="41" customFormat="1" ht="18" customHeight="1" x14ac:dyDescent="0.25">
      <c r="A21" s="40"/>
      <c r="B21" s="242"/>
      <c r="C21" s="42" t="s">
        <v>13</v>
      </c>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104">
        <f>SUM(COUNTIF(D21:AH21,"=a")+SUM(COUNTIF(D21:AH21,"=aa")/2))</f>
        <v>0</v>
      </c>
      <c r="AJ21" s="94"/>
    </row>
    <row r="22" spans="1:36" s="41" customFormat="1" ht="6.75" customHeight="1" x14ac:dyDescent="0.25">
      <c r="A22" s="40"/>
      <c r="B22" s="169"/>
      <c r="C22" s="46"/>
      <c r="D22" s="46"/>
      <c r="E22" s="46"/>
      <c r="F22" s="46"/>
      <c r="G22" s="46"/>
      <c r="H22" s="46"/>
      <c r="I22" s="46"/>
      <c r="J22" s="46"/>
      <c r="K22" s="46"/>
      <c r="L22" s="46"/>
      <c r="M22" s="46"/>
      <c r="N22" s="46"/>
      <c r="O22" s="46"/>
      <c r="P22" s="49"/>
      <c r="Q22" s="46"/>
      <c r="R22" s="46"/>
      <c r="S22" s="46"/>
      <c r="T22" s="46"/>
      <c r="U22" s="46"/>
      <c r="V22" s="46"/>
      <c r="W22" s="46"/>
      <c r="X22" s="46"/>
      <c r="Y22" s="46"/>
      <c r="Z22" s="46"/>
      <c r="AA22" s="46"/>
      <c r="AB22" s="46"/>
      <c r="AC22" s="46"/>
      <c r="AD22" s="50"/>
      <c r="AE22" s="50"/>
      <c r="AF22" s="46"/>
      <c r="AG22" s="46"/>
      <c r="AH22" s="46"/>
      <c r="AI22" s="47"/>
      <c r="AJ22" s="94"/>
    </row>
    <row r="23" spans="1:36" s="41" customFormat="1" ht="15.75" customHeight="1" x14ac:dyDescent="0.25">
      <c r="A23" s="40"/>
      <c r="B23" s="290" t="s">
        <v>463</v>
      </c>
      <c r="C23" s="48"/>
      <c r="D23" s="107" t="str">
        <f>VLOOKUP(WEEKDAY(D24),Sheet1!$L$3:$M$9,2,FALSE)</f>
        <v>S</v>
      </c>
      <c r="E23" s="107" t="str">
        <f>VLOOKUP(WEEKDAY(E24),Sheet1!$L$3:$M$9,2,FALSE)</f>
        <v>M</v>
      </c>
      <c r="F23" s="107" t="str">
        <f>VLOOKUP(WEEKDAY(F24),Sheet1!$L$3:$M$9,2,FALSE)</f>
        <v>T</v>
      </c>
      <c r="G23" s="107" t="str">
        <f>VLOOKUP(WEEKDAY(G24),Sheet1!$L$3:$M$9,2,FALSE)</f>
        <v>W</v>
      </c>
      <c r="H23" s="107" t="str">
        <f>VLOOKUP(WEEKDAY(H24),Sheet1!$L$3:$M$9,2,FALSE)</f>
        <v>R</v>
      </c>
      <c r="I23" s="107" t="str">
        <f>VLOOKUP(WEEKDAY(I24),Sheet1!$L$3:$M$9,2,FALSE)</f>
        <v>F</v>
      </c>
      <c r="J23" s="107" t="str">
        <f>VLOOKUP(WEEKDAY(J24),Sheet1!$L$3:$M$9,2,FALSE)</f>
        <v>S</v>
      </c>
      <c r="K23" s="107" t="str">
        <f>VLOOKUP(WEEKDAY(K24),Sheet1!$L$3:$M$9,2,FALSE)</f>
        <v>S</v>
      </c>
      <c r="L23" s="107" t="str">
        <f>VLOOKUP(WEEKDAY(L24),Sheet1!$L$3:$M$9,2,FALSE)</f>
        <v>M</v>
      </c>
      <c r="M23" s="107" t="str">
        <f>VLOOKUP(WEEKDAY(M24),Sheet1!$L$3:$M$9,2,FALSE)</f>
        <v>T</v>
      </c>
      <c r="N23" s="107" t="str">
        <f>VLOOKUP(WEEKDAY(N24),Sheet1!$L$3:$M$9,2,FALSE)</f>
        <v>W</v>
      </c>
      <c r="O23" s="107" t="str">
        <f>VLOOKUP(WEEKDAY(O24),Sheet1!$L$3:$M$9,2,FALSE)</f>
        <v>R</v>
      </c>
      <c r="P23" s="107" t="str">
        <f>VLOOKUP(WEEKDAY(P24),Sheet1!$L$3:$M$9,2,FALSE)</f>
        <v>F</v>
      </c>
      <c r="Q23" s="107" t="str">
        <f>VLOOKUP(WEEKDAY(Q24),Sheet1!$L$3:$M$9,2,FALSE)</f>
        <v>S</v>
      </c>
      <c r="R23" s="107" t="str">
        <f>VLOOKUP(WEEKDAY(R24),Sheet1!$L$3:$M$9,2,FALSE)</f>
        <v>S</v>
      </c>
      <c r="S23" s="107" t="str">
        <f>VLOOKUP(WEEKDAY(S24),Sheet1!$L$3:$M$9,2,FALSE)</f>
        <v>M</v>
      </c>
      <c r="T23" s="107" t="str">
        <f>VLOOKUP(WEEKDAY(T24),Sheet1!$L$3:$M$9,2,FALSE)</f>
        <v>T</v>
      </c>
      <c r="U23" s="107" t="str">
        <f>VLOOKUP(WEEKDAY(U24),Sheet1!$L$3:$M$9,2,FALSE)</f>
        <v>W</v>
      </c>
      <c r="V23" s="107" t="str">
        <f>VLOOKUP(WEEKDAY(V24),Sheet1!$L$3:$M$9,2,FALSE)</f>
        <v>R</v>
      </c>
      <c r="W23" s="107" t="str">
        <f>VLOOKUP(WEEKDAY(W24),Sheet1!$L$3:$M$9,2,FALSE)</f>
        <v>F</v>
      </c>
      <c r="X23" s="107" t="str">
        <f>VLOOKUP(WEEKDAY(X24),Sheet1!$L$3:$M$9,2,FALSE)</f>
        <v>S</v>
      </c>
      <c r="Y23" s="107" t="str">
        <f>VLOOKUP(WEEKDAY(Y24),Sheet1!$L$3:$M$9,2,FALSE)</f>
        <v>S</v>
      </c>
      <c r="Z23" s="107" t="str">
        <f>VLOOKUP(WEEKDAY(Z24),Sheet1!$L$3:$M$9,2,FALSE)</f>
        <v>M</v>
      </c>
      <c r="AA23" s="107" t="str">
        <f>VLOOKUP(WEEKDAY(AA24),Sheet1!$L$3:$M$9,2,FALSE)</f>
        <v>T</v>
      </c>
      <c r="AB23" s="107" t="str">
        <f>VLOOKUP(WEEKDAY(AB24),Sheet1!$L$3:$M$9,2,FALSE)</f>
        <v>W</v>
      </c>
      <c r="AC23" s="107" t="str">
        <f>VLOOKUP(WEEKDAY(AC24),Sheet1!$L$3:$M$9,2,FALSE)</f>
        <v>R</v>
      </c>
      <c r="AD23" s="107" t="str">
        <f>VLOOKUP(WEEKDAY(AD24),Sheet1!$L$3:$M$9,2,FALSE)</f>
        <v>F</v>
      </c>
      <c r="AE23" s="107" t="str">
        <f>VLOOKUP(WEEKDAY(AE24),Sheet1!$L$3:$M$9,2,FALSE)</f>
        <v>S</v>
      </c>
      <c r="AF23" s="107" t="str">
        <f>VLOOKUP(WEEKDAY(AF24),Sheet1!$L$3:$M$9,2,FALSE)</f>
        <v>S</v>
      </c>
      <c r="AG23" s="107" t="str">
        <f>VLOOKUP(WEEKDAY(AG24),Sheet1!$L$3:$M$9,2,FALSE)</f>
        <v>M</v>
      </c>
      <c r="AH23" s="39"/>
      <c r="AI23" s="200" t="s">
        <v>10</v>
      </c>
      <c r="AJ23" s="94"/>
    </row>
    <row r="24" spans="1:36" s="41" customFormat="1" ht="15.75" customHeight="1" x14ac:dyDescent="0.25">
      <c r="A24" s="40"/>
      <c r="B24" s="241"/>
      <c r="C24" s="48"/>
      <c r="D24" s="107">
        <f>DATE(BegCalYear,9,1)</f>
        <v>45536</v>
      </c>
      <c r="E24" s="107">
        <f>DATE(BegCalYear,9,2)</f>
        <v>45537</v>
      </c>
      <c r="F24" s="107">
        <f>DATE(BegCalYear,9,3)</f>
        <v>45538</v>
      </c>
      <c r="G24" s="107">
        <f>DATE(BegCalYear,9,4)</f>
        <v>45539</v>
      </c>
      <c r="H24" s="107">
        <f>DATE(BegCalYear,9,5)</f>
        <v>45540</v>
      </c>
      <c r="I24" s="107">
        <f>DATE(BegCalYear,9,6)</f>
        <v>45541</v>
      </c>
      <c r="J24" s="107">
        <f>DATE(BegCalYear,9,7)</f>
        <v>45542</v>
      </c>
      <c r="K24" s="107">
        <f>DATE(BegCalYear,9,8)</f>
        <v>45543</v>
      </c>
      <c r="L24" s="107">
        <f>DATE(BegCalYear,9,9)</f>
        <v>45544</v>
      </c>
      <c r="M24" s="107">
        <f>DATE(BegCalYear,9,10)</f>
        <v>45545</v>
      </c>
      <c r="N24" s="107">
        <f>DATE(BegCalYear,9,11)</f>
        <v>45546</v>
      </c>
      <c r="O24" s="107">
        <f>DATE(BegCalYear,9,12)</f>
        <v>45547</v>
      </c>
      <c r="P24" s="107">
        <f>DATE(BegCalYear,9,13)</f>
        <v>45548</v>
      </c>
      <c r="Q24" s="107">
        <f>DATE(BegCalYear,9,14)</f>
        <v>45549</v>
      </c>
      <c r="R24" s="107">
        <f>DATE(BegCalYear,9,15)</f>
        <v>45550</v>
      </c>
      <c r="S24" s="107">
        <f>DATE(BegCalYear,9,16)</f>
        <v>45551</v>
      </c>
      <c r="T24" s="107">
        <f>DATE(BegCalYear,9,17)</f>
        <v>45552</v>
      </c>
      <c r="U24" s="107">
        <f>DATE(BegCalYear,9,18)</f>
        <v>45553</v>
      </c>
      <c r="V24" s="107">
        <f>DATE(BegCalYear,9,19)</f>
        <v>45554</v>
      </c>
      <c r="W24" s="107">
        <f>DATE(BegCalYear,9,20)</f>
        <v>45555</v>
      </c>
      <c r="X24" s="107">
        <f>DATE(BegCalYear,9,21)</f>
        <v>45556</v>
      </c>
      <c r="Y24" s="107">
        <f>DATE(BegCalYear,9,22)</f>
        <v>45557</v>
      </c>
      <c r="Z24" s="107">
        <f>DATE(BegCalYear,9,23)</f>
        <v>45558</v>
      </c>
      <c r="AA24" s="107">
        <f>DATE(BegCalYear,9,24)</f>
        <v>45559</v>
      </c>
      <c r="AB24" s="107">
        <f>DATE(BegCalYear,9,25)</f>
        <v>45560</v>
      </c>
      <c r="AC24" s="107">
        <f>DATE(BegCalYear,9,26)</f>
        <v>45561</v>
      </c>
      <c r="AD24" s="107">
        <f>DATE(BegCalYear,9,27)</f>
        <v>45562</v>
      </c>
      <c r="AE24" s="107">
        <f>DATE(BegCalYear,9,28)</f>
        <v>45563</v>
      </c>
      <c r="AF24" s="107">
        <f>DATE(BegCalYear,9,29)</f>
        <v>45564</v>
      </c>
      <c r="AG24" s="107">
        <f>DATE(BegCalYear,9,30)</f>
        <v>45565</v>
      </c>
      <c r="AH24" s="39"/>
      <c r="AI24" s="201"/>
      <c r="AJ24" s="94"/>
    </row>
    <row r="25" spans="1:36" s="41" customFormat="1" ht="18" customHeight="1" x14ac:dyDescent="0.25">
      <c r="A25" s="40"/>
      <c r="B25" s="241"/>
      <c r="C25" s="42" t="s">
        <v>11</v>
      </c>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39"/>
      <c r="AI25" s="104">
        <f>SUM(COUNTIF(D25:AH25,"=c")+SUM(COUNTIF(D25:AH25,"=cc")/2)+SUM(D25:AH25))</f>
        <v>0</v>
      </c>
      <c r="AJ25" s="94"/>
    </row>
    <row r="26" spans="1:36" s="41" customFormat="1" ht="18" customHeight="1" x14ac:dyDescent="0.25">
      <c r="A26" s="40"/>
      <c r="B26" s="241"/>
      <c r="C26" s="111" t="s">
        <v>84</v>
      </c>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39"/>
      <c r="AI26" s="113">
        <f>SUM(COUNTIF(D26:AH26,"=p")+SUM(COUNTIF(D26:AH26,"=pp")/2))</f>
        <v>0</v>
      </c>
      <c r="AJ26" s="94"/>
    </row>
    <row r="27" spans="1:36" s="41" customFormat="1" ht="18" customHeight="1" x14ac:dyDescent="0.25">
      <c r="A27" s="40"/>
      <c r="B27" s="241"/>
      <c r="C27" s="128" t="s">
        <v>88</v>
      </c>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39"/>
      <c r="AI27" s="129">
        <f>SUM(COUNTIF(D27:AH27,"=pd")+SUM(COUNTIF(D27:AH27,"=ppdd")/2))</f>
        <v>0</v>
      </c>
      <c r="AJ27" s="94"/>
    </row>
    <row r="28" spans="1:36" s="41" customFormat="1" ht="18" customHeight="1" x14ac:dyDescent="0.25">
      <c r="A28" s="40"/>
      <c r="B28" s="242"/>
      <c r="C28" s="42" t="s">
        <v>13</v>
      </c>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39"/>
      <c r="AI28" s="104">
        <f>SUM(COUNTIF(D28:AH28,"=a")+SUM(COUNTIF(D28:AH28,"=aa")/2))</f>
        <v>0</v>
      </c>
      <c r="AJ28" s="94"/>
    </row>
    <row r="29" spans="1:36" s="41" customFormat="1" ht="6.75" customHeight="1" x14ac:dyDescent="0.25">
      <c r="A29" s="40"/>
      <c r="B29" s="169"/>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7"/>
      <c r="AJ29" s="94"/>
    </row>
    <row r="30" spans="1:36" s="41" customFormat="1" ht="15.75" customHeight="1" x14ac:dyDescent="0.25">
      <c r="A30" s="40"/>
      <c r="B30" s="286" t="s">
        <v>464</v>
      </c>
      <c r="C30" s="48"/>
      <c r="D30" s="107" t="str">
        <f>VLOOKUP(WEEKDAY(D31),Sheet1!$L$3:$M$9,2,FALSE)</f>
        <v>T</v>
      </c>
      <c r="E30" s="107" t="str">
        <f>VLOOKUP(WEEKDAY(E31),Sheet1!$L$3:$M$9,2,FALSE)</f>
        <v>W</v>
      </c>
      <c r="F30" s="107" t="str">
        <f>VLOOKUP(WEEKDAY(F31),Sheet1!$L$3:$M$9,2,FALSE)</f>
        <v>R</v>
      </c>
      <c r="G30" s="107" t="str">
        <f>VLOOKUP(WEEKDAY(G31),Sheet1!$L$3:$M$9,2,FALSE)</f>
        <v>F</v>
      </c>
      <c r="H30" s="107" t="str">
        <f>VLOOKUP(WEEKDAY(H31),Sheet1!$L$3:$M$9,2,FALSE)</f>
        <v>S</v>
      </c>
      <c r="I30" s="107" t="str">
        <f>VLOOKUP(WEEKDAY(I31),Sheet1!$L$3:$M$9,2,FALSE)</f>
        <v>S</v>
      </c>
      <c r="J30" s="107" t="str">
        <f>VLOOKUP(WEEKDAY(J31),Sheet1!$L$3:$M$9,2,FALSE)</f>
        <v>M</v>
      </c>
      <c r="K30" s="107" t="str">
        <f>VLOOKUP(WEEKDAY(K31),Sheet1!$L$3:$M$9,2,FALSE)</f>
        <v>T</v>
      </c>
      <c r="L30" s="107" t="str">
        <f>VLOOKUP(WEEKDAY(L31),Sheet1!$L$3:$M$9,2,FALSE)</f>
        <v>W</v>
      </c>
      <c r="M30" s="107" t="str">
        <f>VLOOKUP(WEEKDAY(M31),Sheet1!$L$3:$M$9,2,FALSE)</f>
        <v>R</v>
      </c>
      <c r="N30" s="107" t="str">
        <f>VLOOKUP(WEEKDAY(N31),Sheet1!$L$3:$M$9,2,FALSE)</f>
        <v>F</v>
      </c>
      <c r="O30" s="107" t="str">
        <f>VLOOKUP(WEEKDAY(O31),Sheet1!$L$3:$M$9,2,FALSE)</f>
        <v>S</v>
      </c>
      <c r="P30" s="107" t="str">
        <f>VLOOKUP(WEEKDAY(P31),Sheet1!$L$3:$M$9,2,FALSE)</f>
        <v>S</v>
      </c>
      <c r="Q30" s="107" t="str">
        <f>VLOOKUP(WEEKDAY(Q31),Sheet1!$L$3:$M$9,2,FALSE)</f>
        <v>M</v>
      </c>
      <c r="R30" s="107" t="str">
        <f>VLOOKUP(WEEKDAY(R31),Sheet1!$L$3:$M$9,2,FALSE)</f>
        <v>T</v>
      </c>
      <c r="S30" s="107" t="str">
        <f>VLOOKUP(WEEKDAY(S31),Sheet1!$L$3:$M$9,2,FALSE)</f>
        <v>W</v>
      </c>
      <c r="T30" s="107" t="str">
        <f>VLOOKUP(WEEKDAY(T31),Sheet1!$L$3:$M$9,2,FALSE)</f>
        <v>R</v>
      </c>
      <c r="U30" s="107" t="str">
        <f>VLOOKUP(WEEKDAY(U31),Sheet1!$L$3:$M$9,2,FALSE)</f>
        <v>F</v>
      </c>
      <c r="V30" s="107" t="str">
        <f>VLOOKUP(WEEKDAY(V31),Sheet1!$L$3:$M$9,2,FALSE)</f>
        <v>S</v>
      </c>
      <c r="W30" s="107" t="str">
        <f>VLOOKUP(WEEKDAY(W31),Sheet1!$L$3:$M$9,2,FALSE)</f>
        <v>S</v>
      </c>
      <c r="X30" s="107" t="str">
        <f>VLOOKUP(WEEKDAY(X31),Sheet1!$L$3:$M$9,2,FALSE)</f>
        <v>M</v>
      </c>
      <c r="Y30" s="107" t="str">
        <f>VLOOKUP(WEEKDAY(Y31),Sheet1!$L$3:$M$9,2,FALSE)</f>
        <v>T</v>
      </c>
      <c r="Z30" s="107" t="str">
        <f>VLOOKUP(WEEKDAY(Z31),Sheet1!$L$3:$M$9,2,FALSE)</f>
        <v>W</v>
      </c>
      <c r="AA30" s="107" t="str">
        <f>VLOOKUP(WEEKDAY(AA31),Sheet1!$L$3:$M$9,2,FALSE)</f>
        <v>R</v>
      </c>
      <c r="AB30" s="107" t="str">
        <f>VLOOKUP(WEEKDAY(AB31),Sheet1!$L$3:$M$9,2,FALSE)</f>
        <v>F</v>
      </c>
      <c r="AC30" s="107" t="str">
        <f>VLOOKUP(WEEKDAY(AC31),Sheet1!$L$3:$M$9,2,FALSE)</f>
        <v>S</v>
      </c>
      <c r="AD30" s="107" t="str">
        <f>VLOOKUP(WEEKDAY(AD31),Sheet1!$L$3:$M$9,2,FALSE)</f>
        <v>S</v>
      </c>
      <c r="AE30" s="107" t="str">
        <f>VLOOKUP(WEEKDAY(AE31),Sheet1!$L$3:$M$9,2,FALSE)</f>
        <v>M</v>
      </c>
      <c r="AF30" s="107" t="str">
        <f>VLOOKUP(WEEKDAY(AF31),Sheet1!$L$3:$M$9,2,FALSE)</f>
        <v>T</v>
      </c>
      <c r="AG30" s="107" t="str">
        <f>VLOOKUP(WEEKDAY(AG31),Sheet1!$L$3:$M$9,2,FALSE)</f>
        <v>W</v>
      </c>
      <c r="AH30" s="107" t="str">
        <f>VLOOKUP(WEEKDAY(AH31),Sheet1!$L$3:$M$9,2,FALSE)</f>
        <v>R</v>
      </c>
      <c r="AI30" s="203" t="s">
        <v>10</v>
      </c>
      <c r="AJ30" s="94"/>
    </row>
    <row r="31" spans="1:36" s="41" customFormat="1" ht="15.75" customHeight="1" x14ac:dyDescent="0.25">
      <c r="A31" s="40"/>
      <c r="B31" s="287"/>
      <c r="C31" s="48"/>
      <c r="D31" s="107">
        <f>DATE(BegCalYear,10,1)</f>
        <v>45566</v>
      </c>
      <c r="E31" s="107">
        <f>DATE(BegCalYear,10,2)</f>
        <v>45567</v>
      </c>
      <c r="F31" s="107">
        <f>DATE(BegCalYear,10,3)</f>
        <v>45568</v>
      </c>
      <c r="G31" s="107">
        <f>DATE(BegCalYear,10,4)</f>
        <v>45569</v>
      </c>
      <c r="H31" s="107">
        <f>DATE(BegCalYear,10,5)</f>
        <v>45570</v>
      </c>
      <c r="I31" s="107">
        <f>DATE(BegCalYear,10,6)</f>
        <v>45571</v>
      </c>
      <c r="J31" s="107">
        <f>DATE(BegCalYear,10,7)</f>
        <v>45572</v>
      </c>
      <c r="K31" s="107">
        <f>DATE(BegCalYear,10,8)</f>
        <v>45573</v>
      </c>
      <c r="L31" s="107">
        <f>DATE(BegCalYear,10,9)</f>
        <v>45574</v>
      </c>
      <c r="M31" s="107">
        <f>DATE(BegCalYear,10,10)</f>
        <v>45575</v>
      </c>
      <c r="N31" s="107">
        <f>DATE(BegCalYear,10,11)</f>
        <v>45576</v>
      </c>
      <c r="O31" s="107">
        <f>DATE(BegCalYear,10,12)</f>
        <v>45577</v>
      </c>
      <c r="P31" s="107">
        <f>DATE(BegCalYear,10,13)</f>
        <v>45578</v>
      </c>
      <c r="Q31" s="107">
        <f>DATE(BegCalYear,10,14)</f>
        <v>45579</v>
      </c>
      <c r="R31" s="107">
        <f>DATE(BegCalYear,10,15)</f>
        <v>45580</v>
      </c>
      <c r="S31" s="107">
        <f>DATE(BegCalYear,10,16)</f>
        <v>45581</v>
      </c>
      <c r="T31" s="107">
        <f>DATE(BegCalYear,10,17)</f>
        <v>45582</v>
      </c>
      <c r="U31" s="107">
        <f>DATE(BegCalYear,10,18)</f>
        <v>45583</v>
      </c>
      <c r="V31" s="107">
        <f>DATE(BegCalYear,10,19)</f>
        <v>45584</v>
      </c>
      <c r="W31" s="107">
        <f>DATE(BegCalYear,10,20)</f>
        <v>45585</v>
      </c>
      <c r="X31" s="107">
        <f>DATE(BegCalYear,10,21)</f>
        <v>45586</v>
      </c>
      <c r="Y31" s="107">
        <f>DATE(BegCalYear,10,22)</f>
        <v>45587</v>
      </c>
      <c r="Z31" s="107">
        <f>DATE(BegCalYear,10,23)</f>
        <v>45588</v>
      </c>
      <c r="AA31" s="107">
        <f>DATE(BegCalYear,10,24)</f>
        <v>45589</v>
      </c>
      <c r="AB31" s="107">
        <f>DATE(BegCalYear,10,25)</f>
        <v>45590</v>
      </c>
      <c r="AC31" s="107">
        <f>DATE(BegCalYear,10,26)</f>
        <v>45591</v>
      </c>
      <c r="AD31" s="107">
        <f>DATE(BegCalYear,10,27)</f>
        <v>45592</v>
      </c>
      <c r="AE31" s="107">
        <f>DATE(BegCalYear,10,28)</f>
        <v>45593</v>
      </c>
      <c r="AF31" s="107">
        <f>DATE(BegCalYear,10,29)</f>
        <v>45594</v>
      </c>
      <c r="AG31" s="107">
        <f>DATE(BegCalYear,10,30)</f>
        <v>45595</v>
      </c>
      <c r="AH31" s="107">
        <f>DATE(BegCalYear,10,31)</f>
        <v>45596</v>
      </c>
      <c r="AI31" s="204"/>
      <c r="AJ31" s="94"/>
    </row>
    <row r="32" spans="1:36" s="41" customFormat="1" ht="18" customHeight="1" x14ac:dyDescent="0.25">
      <c r="A32" s="40"/>
      <c r="B32" s="287"/>
      <c r="C32" s="42" t="s">
        <v>11</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104">
        <f>SUM(COUNTIF(D32:AH32,"=c")+SUM(COUNTIF(D32:AH32,"=cc")/2)+SUM(D32:AH32))</f>
        <v>0</v>
      </c>
      <c r="AJ32" s="94"/>
    </row>
    <row r="33" spans="1:36" s="41" customFormat="1" ht="18" customHeight="1" x14ac:dyDescent="0.25">
      <c r="A33" s="40"/>
      <c r="B33" s="287"/>
      <c r="C33" s="111" t="s">
        <v>84</v>
      </c>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3">
        <f>SUM(COUNTIF(D33:AH33,"=p")+SUM(COUNTIF(D33:AH33,"=pp")/2))</f>
        <v>0</v>
      </c>
      <c r="AJ33" s="94"/>
    </row>
    <row r="34" spans="1:36" s="41" customFormat="1" ht="18" customHeight="1" x14ac:dyDescent="0.25">
      <c r="A34" s="40"/>
      <c r="B34" s="287"/>
      <c r="C34" s="128" t="s">
        <v>88</v>
      </c>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129">
        <f>SUM(COUNTIF(D34:AH34,"=pd")+SUM(COUNTIF(D34:AH34,"=ppdd")/2))</f>
        <v>0</v>
      </c>
      <c r="AJ34" s="94"/>
    </row>
    <row r="35" spans="1:36" s="41" customFormat="1" ht="18" customHeight="1" x14ac:dyDescent="0.25">
      <c r="A35" s="40"/>
      <c r="B35" s="288"/>
      <c r="C35" s="42" t="s">
        <v>13</v>
      </c>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104">
        <f>SUM(COUNTIF(D35:AH35,"=a")+SUM(COUNTIF(D35:AH35,"=aa")/2))</f>
        <v>0</v>
      </c>
      <c r="AJ35" s="94"/>
    </row>
    <row r="36" spans="1:36" s="41" customFormat="1" ht="6.75" customHeight="1" x14ac:dyDescent="0.25">
      <c r="A36" s="40"/>
      <c r="B36" s="169"/>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7"/>
      <c r="AJ36" s="94"/>
    </row>
    <row r="37" spans="1:36" s="41" customFormat="1" ht="15.75" customHeight="1" x14ac:dyDescent="0.25">
      <c r="A37" s="40"/>
      <c r="B37" s="283" t="s">
        <v>465</v>
      </c>
      <c r="C37" s="48"/>
      <c r="D37" s="107" t="str">
        <f>VLOOKUP(WEEKDAY(D38),Sheet1!$L$3:$M$9,2,FALSE)</f>
        <v>F</v>
      </c>
      <c r="E37" s="107" t="str">
        <f>VLOOKUP(WEEKDAY(E38),Sheet1!$L$3:$M$9,2,FALSE)</f>
        <v>S</v>
      </c>
      <c r="F37" s="107" t="str">
        <f>VLOOKUP(WEEKDAY(F38),Sheet1!$L$3:$M$9,2,FALSE)</f>
        <v>S</v>
      </c>
      <c r="G37" s="107" t="str">
        <f>VLOOKUP(WEEKDAY(G38),Sheet1!$L$3:$M$9,2,FALSE)</f>
        <v>M</v>
      </c>
      <c r="H37" s="107" t="str">
        <f>VLOOKUP(WEEKDAY(H38),Sheet1!$L$3:$M$9,2,FALSE)</f>
        <v>T</v>
      </c>
      <c r="I37" s="107" t="str">
        <f>VLOOKUP(WEEKDAY(I38),Sheet1!$L$3:$M$9,2,FALSE)</f>
        <v>W</v>
      </c>
      <c r="J37" s="107" t="str">
        <f>VLOOKUP(WEEKDAY(J38),Sheet1!$L$3:$M$9,2,FALSE)</f>
        <v>R</v>
      </c>
      <c r="K37" s="107" t="str">
        <f>VLOOKUP(WEEKDAY(K38),Sheet1!$L$3:$M$9,2,FALSE)</f>
        <v>F</v>
      </c>
      <c r="L37" s="107" t="str">
        <f>VLOOKUP(WEEKDAY(L38),Sheet1!$L$3:$M$9,2,FALSE)</f>
        <v>S</v>
      </c>
      <c r="M37" s="107" t="str">
        <f>VLOOKUP(WEEKDAY(M38),Sheet1!$L$3:$M$9,2,FALSE)</f>
        <v>S</v>
      </c>
      <c r="N37" s="107" t="str">
        <f>VLOOKUP(WEEKDAY(N38),Sheet1!$L$3:$M$9,2,FALSE)</f>
        <v>M</v>
      </c>
      <c r="O37" s="107" t="str">
        <f>VLOOKUP(WEEKDAY(O38),Sheet1!$L$3:$M$9,2,FALSE)</f>
        <v>T</v>
      </c>
      <c r="P37" s="107" t="str">
        <f>VLOOKUP(WEEKDAY(P38),Sheet1!$L$3:$M$9,2,FALSE)</f>
        <v>W</v>
      </c>
      <c r="Q37" s="107" t="str">
        <f>VLOOKUP(WEEKDAY(Q38),Sheet1!$L$3:$M$9,2,FALSE)</f>
        <v>R</v>
      </c>
      <c r="R37" s="107" t="str">
        <f>VLOOKUP(WEEKDAY(R38),Sheet1!$L$3:$M$9,2,FALSE)</f>
        <v>F</v>
      </c>
      <c r="S37" s="107" t="str">
        <f>VLOOKUP(WEEKDAY(S38),Sheet1!$L$3:$M$9,2,FALSE)</f>
        <v>S</v>
      </c>
      <c r="T37" s="107" t="str">
        <f>VLOOKUP(WEEKDAY(T38),Sheet1!$L$3:$M$9,2,FALSE)</f>
        <v>S</v>
      </c>
      <c r="U37" s="107" t="str">
        <f>VLOOKUP(WEEKDAY(U38),Sheet1!$L$3:$M$9,2,FALSE)</f>
        <v>M</v>
      </c>
      <c r="V37" s="107" t="str">
        <f>VLOOKUP(WEEKDAY(V38),Sheet1!$L$3:$M$9,2,FALSE)</f>
        <v>T</v>
      </c>
      <c r="W37" s="107" t="str">
        <f>VLOOKUP(WEEKDAY(W38),Sheet1!$L$3:$M$9,2,FALSE)</f>
        <v>W</v>
      </c>
      <c r="X37" s="107" t="str">
        <f>VLOOKUP(WEEKDAY(X38),Sheet1!$L$3:$M$9,2,FALSE)</f>
        <v>R</v>
      </c>
      <c r="Y37" s="107" t="str">
        <f>VLOOKUP(WEEKDAY(Y38),Sheet1!$L$3:$M$9,2,FALSE)</f>
        <v>F</v>
      </c>
      <c r="Z37" s="107" t="str">
        <f>VLOOKUP(WEEKDAY(Z38),Sheet1!$L$3:$M$9,2,FALSE)</f>
        <v>S</v>
      </c>
      <c r="AA37" s="107" t="str">
        <f>VLOOKUP(WEEKDAY(AA38),Sheet1!$L$3:$M$9,2,FALSE)</f>
        <v>S</v>
      </c>
      <c r="AB37" s="107" t="str">
        <f>VLOOKUP(WEEKDAY(AB38),Sheet1!$L$3:$M$9,2,FALSE)</f>
        <v>M</v>
      </c>
      <c r="AC37" s="107" t="str">
        <f>VLOOKUP(WEEKDAY(AC38),Sheet1!$L$3:$M$9,2,FALSE)</f>
        <v>T</v>
      </c>
      <c r="AD37" s="107" t="str">
        <f>VLOOKUP(WEEKDAY(AD38),Sheet1!$L$3:$M$9,2,FALSE)</f>
        <v>W</v>
      </c>
      <c r="AE37" s="107" t="str">
        <f>VLOOKUP(WEEKDAY(AE38),Sheet1!$L$3:$M$9,2,FALSE)</f>
        <v>R</v>
      </c>
      <c r="AF37" s="107" t="str">
        <f>VLOOKUP(WEEKDAY(AF38),Sheet1!$L$3:$M$9,2,FALSE)</f>
        <v>F</v>
      </c>
      <c r="AG37" s="107" t="str">
        <f>VLOOKUP(WEEKDAY(AG38),Sheet1!$L$3:$M$9,2,FALSE)</f>
        <v>S</v>
      </c>
      <c r="AH37" s="45"/>
      <c r="AI37" s="200" t="s">
        <v>10</v>
      </c>
      <c r="AJ37" s="94"/>
    </row>
    <row r="38" spans="1:36" s="41" customFormat="1" ht="15.75" customHeight="1" x14ac:dyDescent="0.25">
      <c r="A38" s="40"/>
      <c r="B38" s="284"/>
      <c r="C38" s="48"/>
      <c r="D38" s="107">
        <f>DATE(BegCalYear,11,1)</f>
        <v>45597</v>
      </c>
      <c r="E38" s="107">
        <f>DATE(BegCalYear,11,2)</f>
        <v>45598</v>
      </c>
      <c r="F38" s="107">
        <f>DATE(BegCalYear,11,3)</f>
        <v>45599</v>
      </c>
      <c r="G38" s="107">
        <f>DATE(BegCalYear,11,4)</f>
        <v>45600</v>
      </c>
      <c r="H38" s="107">
        <f>DATE(BegCalYear,11,5)</f>
        <v>45601</v>
      </c>
      <c r="I38" s="107">
        <f>DATE(BegCalYear,11,6)</f>
        <v>45602</v>
      </c>
      <c r="J38" s="107">
        <f>DATE(BegCalYear,11,7)</f>
        <v>45603</v>
      </c>
      <c r="K38" s="107">
        <f>DATE(BegCalYear,11,8)</f>
        <v>45604</v>
      </c>
      <c r="L38" s="107">
        <f>DATE(BegCalYear,11,9)</f>
        <v>45605</v>
      </c>
      <c r="M38" s="107">
        <f>DATE(BegCalYear,11,10)</f>
        <v>45606</v>
      </c>
      <c r="N38" s="107">
        <f>DATE(BegCalYear,11,11)</f>
        <v>45607</v>
      </c>
      <c r="O38" s="107">
        <f>DATE(BegCalYear,11,12)</f>
        <v>45608</v>
      </c>
      <c r="P38" s="107">
        <f>DATE(BegCalYear,11,13)</f>
        <v>45609</v>
      </c>
      <c r="Q38" s="107">
        <f>DATE(BegCalYear,11,14)</f>
        <v>45610</v>
      </c>
      <c r="R38" s="107">
        <f>DATE(BegCalYear,11,15)</f>
        <v>45611</v>
      </c>
      <c r="S38" s="107">
        <f>DATE(BegCalYear,11,16)</f>
        <v>45612</v>
      </c>
      <c r="T38" s="107">
        <f>DATE(BegCalYear,11,17)</f>
        <v>45613</v>
      </c>
      <c r="U38" s="107">
        <f>DATE(BegCalYear,11,18)</f>
        <v>45614</v>
      </c>
      <c r="V38" s="107">
        <f>DATE(BegCalYear,11,19)</f>
        <v>45615</v>
      </c>
      <c r="W38" s="107">
        <f>DATE(BegCalYear,11,20)</f>
        <v>45616</v>
      </c>
      <c r="X38" s="107">
        <f>DATE(BegCalYear,11,21)</f>
        <v>45617</v>
      </c>
      <c r="Y38" s="107">
        <f>DATE(BegCalYear,11,22)</f>
        <v>45618</v>
      </c>
      <c r="Z38" s="107">
        <f>DATE(BegCalYear,11,23)</f>
        <v>45619</v>
      </c>
      <c r="AA38" s="107">
        <f>DATE(BegCalYear,11,24)</f>
        <v>45620</v>
      </c>
      <c r="AB38" s="107">
        <f>DATE(BegCalYear,11,25)</f>
        <v>45621</v>
      </c>
      <c r="AC38" s="107">
        <f>DATE(BegCalYear,11,26)</f>
        <v>45622</v>
      </c>
      <c r="AD38" s="107">
        <f>DATE(BegCalYear,11,27)</f>
        <v>45623</v>
      </c>
      <c r="AE38" s="107">
        <f>DATE(BegCalYear,11,28)</f>
        <v>45624</v>
      </c>
      <c r="AF38" s="107">
        <f>DATE(BegCalYear,11,29)</f>
        <v>45625</v>
      </c>
      <c r="AG38" s="107">
        <f>DATE(BegCalYear,11,30)</f>
        <v>45626</v>
      </c>
      <c r="AH38" s="45"/>
      <c r="AI38" s="201"/>
      <c r="AJ38" s="94"/>
    </row>
    <row r="39" spans="1:36" s="41" customFormat="1" ht="18" customHeight="1" x14ac:dyDescent="0.25">
      <c r="A39" s="40"/>
      <c r="B39" s="284"/>
      <c r="C39" s="42" t="s">
        <v>11</v>
      </c>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5"/>
      <c r="AI39" s="104">
        <f>SUM(COUNTIF(D39:AH39,"=c")+SUM(COUNTIF(D39:AH39,"=cc")/2)+SUM(D39:AH39))</f>
        <v>0</v>
      </c>
      <c r="AJ39" s="94"/>
    </row>
    <row r="40" spans="1:36" s="41" customFormat="1" ht="18" customHeight="1" x14ac:dyDescent="0.25">
      <c r="A40" s="40"/>
      <c r="B40" s="284"/>
      <c r="C40" s="111" t="s">
        <v>84</v>
      </c>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4"/>
      <c r="AI40" s="113">
        <f>SUM(COUNTIF(D40:AH40,"=p")+SUM(COUNTIF(D40:AH40,"=pp")/2))</f>
        <v>0</v>
      </c>
      <c r="AJ40" s="94"/>
    </row>
    <row r="41" spans="1:36" s="41" customFormat="1" ht="18" customHeight="1" x14ac:dyDescent="0.25">
      <c r="A41" s="40"/>
      <c r="B41" s="284"/>
      <c r="C41" s="128" t="s">
        <v>88</v>
      </c>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5"/>
      <c r="AI41" s="129">
        <f>SUM(COUNTIF(D41:AH41,"=pd")+SUM(COUNTIF(D41:AH41,"=ppdd")/2))</f>
        <v>0</v>
      </c>
      <c r="AJ41" s="94"/>
    </row>
    <row r="42" spans="1:36" s="41" customFormat="1" ht="18" customHeight="1" x14ac:dyDescent="0.25">
      <c r="A42" s="40"/>
      <c r="B42" s="285"/>
      <c r="C42" s="42" t="s">
        <v>13</v>
      </c>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5"/>
      <c r="AI42" s="104">
        <f>SUM(COUNTIF(D42:AH42,"=a")+SUM(COUNTIF(D42:AH42,"=aa")/2))</f>
        <v>0</v>
      </c>
      <c r="AJ42" s="94"/>
    </row>
    <row r="43" spans="1:36" s="41" customFormat="1" ht="6.75" customHeight="1" x14ac:dyDescent="0.25">
      <c r="A43" s="40"/>
      <c r="B43" s="169"/>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47"/>
      <c r="AJ43" s="94"/>
    </row>
    <row r="44" spans="1:36" s="41" customFormat="1" ht="15.75" customHeight="1" x14ac:dyDescent="0.25">
      <c r="A44" s="40"/>
      <c r="B44" s="283" t="s">
        <v>466</v>
      </c>
      <c r="C44" s="48"/>
      <c r="D44" s="107" t="str">
        <f>VLOOKUP(WEEKDAY(D45),Sheet1!$L$3:$M$9,2,FALSE)</f>
        <v>S</v>
      </c>
      <c r="E44" s="107" t="str">
        <f>VLOOKUP(WEEKDAY(E45),Sheet1!$L$3:$M$9,2,FALSE)</f>
        <v>M</v>
      </c>
      <c r="F44" s="107" t="str">
        <f>VLOOKUP(WEEKDAY(F45),Sheet1!$L$3:$M$9,2,FALSE)</f>
        <v>T</v>
      </c>
      <c r="G44" s="107" t="str">
        <f>VLOOKUP(WEEKDAY(G45),Sheet1!$L$3:$M$9,2,FALSE)</f>
        <v>W</v>
      </c>
      <c r="H44" s="107" t="str">
        <f>VLOOKUP(WEEKDAY(H45),Sheet1!$L$3:$M$9,2,FALSE)</f>
        <v>R</v>
      </c>
      <c r="I44" s="107" t="str">
        <f>VLOOKUP(WEEKDAY(I45),Sheet1!$L$3:$M$9,2,FALSE)</f>
        <v>F</v>
      </c>
      <c r="J44" s="107" t="str">
        <f>VLOOKUP(WEEKDAY(J45),Sheet1!$L$3:$M$9,2,FALSE)</f>
        <v>S</v>
      </c>
      <c r="K44" s="107" t="str">
        <f>VLOOKUP(WEEKDAY(K45),Sheet1!$L$3:$M$9,2,FALSE)</f>
        <v>S</v>
      </c>
      <c r="L44" s="107" t="str">
        <f>VLOOKUP(WEEKDAY(L45),Sheet1!$L$3:$M$9,2,FALSE)</f>
        <v>M</v>
      </c>
      <c r="M44" s="107" t="str">
        <f>VLOOKUP(WEEKDAY(M45),Sheet1!$L$3:$M$9,2,FALSE)</f>
        <v>T</v>
      </c>
      <c r="N44" s="107" t="str">
        <f>VLOOKUP(WEEKDAY(N45),Sheet1!$L$3:$M$9,2,FALSE)</f>
        <v>W</v>
      </c>
      <c r="O44" s="107" t="str">
        <f>VLOOKUP(WEEKDAY(O45),Sheet1!$L$3:$M$9,2,FALSE)</f>
        <v>R</v>
      </c>
      <c r="P44" s="107" t="str">
        <f>VLOOKUP(WEEKDAY(P45),Sheet1!$L$3:$M$9,2,FALSE)</f>
        <v>F</v>
      </c>
      <c r="Q44" s="107" t="str">
        <f>VLOOKUP(WEEKDAY(Q45),Sheet1!$L$3:$M$9,2,FALSE)</f>
        <v>S</v>
      </c>
      <c r="R44" s="107" t="str">
        <f>VLOOKUP(WEEKDAY(R45),Sheet1!$L$3:$M$9,2,FALSE)</f>
        <v>S</v>
      </c>
      <c r="S44" s="107" t="str">
        <f>VLOOKUP(WEEKDAY(S45),Sheet1!$L$3:$M$9,2,FALSE)</f>
        <v>M</v>
      </c>
      <c r="T44" s="107" t="str">
        <f>VLOOKUP(WEEKDAY(T45),Sheet1!$L$3:$M$9,2,FALSE)</f>
        <v>T</v>
      </c>
      <c r="U44" s="107" t="str">
        <f>VLOOKUP(WEEKDAY(U45),Sheet1!$L$3:$M$9,2,FALSE)</f>
        <v>W</v>
      </c>
      <c r="V44" s="107" t="str">
        <f>VLOOKUP(WEEKDAY(V45),Sheet1!$L$3:$M$9,2,FALSE)</f>
        <v>R</v>
      </c>
      <c r="W44" s="107" t="str">
        <f>VLOOKUP(WEEKDAY(W45),Sheet1!$L$3:$M$9,2,FALSE)</f>
        <v>F</v>
      </c>
      <c r="X44" s="107" t="str">
        <f>VLOOKUP(WEEKDAY(X45),Sheet1!$L$3:$M$9,2,FALSE)</f>
        <v>S</v>
      </c>
      <c r="Y44" s="107" t="str">
        <f>VLOOKUP(WEEKDAY(Y45),Sheet1!$L$3:$M$9,2,FALSE)</f>
        <v>S</v>
      </c>
      <c r="Z44" s="107" t="str">
        <f>VLOOKUP(WEEKDAY(Z45),Sheet1!$L$3:$M$9,2,FALSE)</f>
        <v>M</v>
      </c>
      <c r="AA44" s="107" t="str">
        <f>VLOOKUP(WEEKDAY(AA45),Sheet1!$L$3:$M$9,2,FALSE)</f>
        <v>T</v>
      </c>
      <c r="AB44" s="107" t="str">
        <f>VLOOKUP(WEEKDAY(AB45),Sheet1!$L$3:$M$9,2,FALSE)</f>
        <v>W</v>
      </c>
      <c r="AC44" s="107" t="str">
        <f>VLOOKUP(WEEKDAY(AC45),Sheet1!$L$3:$M$9,2,FALSE)</f>
        <v>R</v>
      </c>
      <c r="AD44" s="107" t="str">
        <f>VLOOKUP(WEEKDAY(AD45),Sheet1!$L$3:$M$9,2,FALSE)</f>
        <v>F</v>
      </c>
      <c r="AE44" s="107" t="str">
        <f>VLOOKUP(WEEKDAY(AE45),Sheet1!$L$3:$M$9,2,FALSE)</f>
        <v>S</v>
      </c>
      <c r="AF44" s="107" t="str">
        <f>VLOOKUP(WEEKDAY(AF45),Sheet1!$L$3:$M$9,2,FALSE)</f>
        <v>S</v>
      </c>
      <c r="AG44" s="107" t="str">
        <f>VLOOKUP(WEEKDAY(AG45),Sheet1!$L$3:$M$9,2,FALSE)</f>
        <v>M</v>
      </c>
      <c r="AH44" s="107" t="str">
        <f>VLOOKUP(WEEKDAY(AH45),Sheet1!$L$3:$M$9,2,FALSE)</f>
        <v>T</v>
      </c>
      <c r="AI44" s="200" t="s">
        <v>10</v>
      </c>
      <c r="AJ44" s="94"/>
    </row>
    <row r="45" spans="1:36" s="41" customFormat="1" ht="15.75" customHeight="1" x14ac:dyDescent="0.25">
      <c r="A45" s="40"/>
      <c r="B45" s="284"/>
      <c r="C45" s="48"/>
      <c r="D45" s="107">
        <f>DATE(BegCalYear,12,1)</f>
        <v>45627</v>
      </c>
      <c r="E45" s="107">
        <f>DATE(BegCalYear,12,2)</f>
        <v>45628</v>
      </c>
      <c r="F45" s="107">
        <f>DATE(BegCalYear,12,3)</f>
        <v>45629</v>
      </c>
      <c r="G45" s="107">
        <f>DATE(BegCalYear,12,4)</f>
        <v>45630</v>
      </c>
      <c r="H45" s="107">
        <f>DATE(BegCalYear,12,5)</f>
        <v>45631</v>
      </c>
      <c r="I45" s="107">
        <f>DATE(BegCalYear,12,6)</f>
        <v>45632</v>
      </c>
      <c r="J45" s="107">
        <f>DATE(BegCalYear,12,7)</f>
        <v>45633</v>
      </c>
      <c r="K45" s="107">
        <f>DATE(BegCalYear,12,8)</f>
        <v>45634</v>
      </c>
      <c r="L45" s="107">
        <f>DATE(BegCalYear,12,9)</f>
        <v>45635</v>
      </c>
      <c r="M45" s="107">
        <f>DATE(BegCalYear,12,10)</f>
        <v>45636</v>
      </c>
      <c r="N45" s="107">
        <f>DATE(BegCalYear,12,11)</f>
        <v>45637</v>
      </c>
      <c r="O45" s="107">
        <f>DATE(BegCalYear,12,12)</f>
        <v>45638</v>
      </c>
      <c r="P45" s="107">
        <f>DATE(BegCalYear,12,13)</f>
        <v>45639</v>
      </c>
      <c r="Q45" s="107">
        <f>DATE(BegCalYear,12,14)</f>
        <v>45640</v>
      </c>
      <c r="R45" s="107">
        <f>DATE(BegCalYear,12,15)</f>
        <v>45641</v>
      </c>
      <c r="S45" s="107">
        <f>DATE(BegCalYear,12,16)</f>
        <v>45642</v>
      </c>
      <c r="T45" s="107">
        <f>DATE(BegCalYear,12,17)</f>
        <v>45643</v>
      </c>
      <c r="U45" s="107">
        <f>DATE(BegCalYear,12,18)</f>
        <v>45644</v>
      </c>
      <c r="V45" s="107">
        <f>DATE(BegCalYear,12,19)</f>
        <v>45645</v>
      </c>
      <c r="W45" s="107">
        <f>DATE(BegCalYear,12,20)</f>
        <v>45646</v>
      </c>
      <c r="X45" s="107">
        <f>DATE(BegCalYear,12,21)</f>
        <v>45647</v>
      </c>
      <c r="Y45" s="107">
        <f>DATE(BegCalYear,12,22)</f>
        <v>45648</v>
      </c>
      <c r="Z45" s="107">
        <f>DATE(BegCalYear,12,23)</f>
        <v>45649</v>
      </c>
      <c r="AA45" s="107">
        <f>DATE(BegCalYear,12,24)</f>
        <v>45650</v>
      </c>
      <c r="AB45" s="107">
        <f>DATE(BegCalYear,12,25)</f>
        <v>45651</v>
      </c>
      <c r="AC45" s="107">
        <f>DATE(BegCalYear,12,26)</f>
        <v>45652</v>
      </c>
      <c r="AD45" s="107">
        <f>DATE(BegCalYear,12,27)</f>
        <v>45653</v>
      </c>
      <c r="AE45" s="107">
        <f>DATE(BegCalYear,12,28)</f>
        <v>45654</v>
      </c>
      <c r="AF45" s="107">
        <f>DATE(BegCalYear,12,29)</f>
        <v>45655</v>
      </c>
      <c r="AG45" s="107">
        <f>DATE(BegCalYear,12,30)</f>
        <v>45656</v>
      </c>
      <c r="AH45" s="107">
        <f>DATE(BegCalYear,12,31)</f>
        <v>45657</v>
      </c>
      <c r="AI45" s="201"/>
      <c r="AJ45" s="94"/>
    </row>
    <row r="46" spans="1:36" s="41" customFormat="1" ht="18" customHeight="1" x14ac:dyDescent="0.25">
      <c r="A46" s="40"/>
      <c r="B46" s="284"/>
      <c r="C46" s="42" t="s">
        <v>11</v>
      </c>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104">
        <f>SUM(COUNTIF(D46:AH46,"=c")+SUM(COUNTIF(D46:AH46,"=cc")/2)+SUM(D46:AH46))</f>
        <v>0</v>
      </c>
      <c r="AJ46" s="94"/>
    </row>
    <row r="47" spans="1:36" s="41" customFormat="1" ht="18" customHeight="1" x14ac:dyDescent="0.25">
      <c r="A47" s="40"/>
      <c r="B47" s="284"/>
      <c r="C47" s="111" t="s">
        <v>84</v>
      </c>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113">
        <f>SUM(COUNTIF(D47:AH47,"=p")+SUM(COUNTIF(D47:AH47,"=pp")/2))</f>
        <v>0</v>
      </c>
      <c r="AJ47" s="94"/>
    </row>
    <row r="48" spans="1:36" s="41" customFormat="1" ht="18" customHeight="1" x14ac:dyDescent="0.25">
      <c r="A48" s="40"/>
      <c r="B48" s="284"/>
      <c r="C48" s="128" t="s">
        <v>88</v>
      </c>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129">
        <f>SUM(COUNTIF(D48:AH48,"=pd")+SUM(COUNTIF(D48:AH48,"=ppdd")/2))</f>
        <v>0</v>
      </c>
      <c r="AJ48" s="94"/>
    </row>
    <row r="49" spans="1:36" s="41" customFormat="1" ht="18" customHeight="1" x14ac:dyDescent="0.25">
      <c r="A49" s="40"/>
      <c r="B49" s="285"/>
      <c r="C49" s="42" t="s">
        <v>13</v>
      </c>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104">
        <f>SUM(COUNTIF(D49:AH49,"=a")+SUM(COUNTIF(D49:AH49,"=aa")/2))</f>
        <v>0</v>
      </c>
      <c r="AJ49" s="94"/>
    </row>
    <row r="50" spans="1:36" s="41" customFormat="1" ht="6.75" customHeight="1" x14ac:dyDescent="0.25">
      <c r="A50" s="40"/>
      <c r="B50" s="169"/>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47"/>
      <c r="AJ50" s="94"/>
    </row>
    <row r="51" spans="1:36" s="41" customFormat="1" ht="15.75" customHeight="1" x14ac:dyDescent="0.25">
      <c r="A51" s="40"/>
      <c r="B51" s="286" t="s">
        <v>467</v>
      </c>
      <c r="C51" s="48"/>
      <c r="D51" s="107" t="str">
        <f>VLOOKUP(WEEKDAY(D52),Sheet1!$L$3:$M$9,2,FALSE)</f>
        <v>W</v>
      </c>
      <c r="E51" s="107" t="str">
        <f>VLOOKUP(WEEKDAY(E52),Sheet1!$L$3:$M$9,2,FALSE)</f>
        <v>R</v>
      </c>
      <c r="F51" s="107" t="str">
        <f>VLOOKUP(WEEKDAY(F52),Sheet1!$L$3:$M$9,2,FALSE)</f>
        <v>F</v>
      </c>
      <c r="G51" s="107" t="str">
        <f>VLOOKUP(WEEKDAY(G52),Sheet1!$L$3:$M$9,2,FALSE)</f>
        <v>S</v>
      </c>
      <c r="H51" s="107" t="str">
        <f>VLOOKUP(WEEKDAY(H52),Sheet1!$L$3:$M$9,2,FALSE)</f>
        <v>S</v>
      </c>
      <c r="I51" s="107" t="str">
        <f>VLOOKUP(WEEKDAY(I52),Sheet1!$L$3:$M$9,2,FALSE)</f>
        <v>M</v>
      </c>
      <c r="J51" s="107" t="str">
        <f>VLOOKUP(WEEKDAY(J52),Sheet1!$L$3:$M$9,2,FALSE)</f>
        <v>T</v>
      </c>
      <c r="K51" s="107" t="str">
        <f>VLOOKUP(WEEKDAY(K52),Sheet1!$L$3:$M$9,2,FALSE)</f>
        <v>W</v>
      </c>
      <c r="L51" s="107" t="str">
        <f>VLOOKUP(WEEKDAY(L52),Sheet1!$L$3:$M$9,2,FALSE)</f>
        <v>R</v>
      </c>
      <c r="M51" s="107" t="str">
        <f>VLOOKUP(WEEKDAY(M52),Sheet1!$L$3:$M$9,2,FALSE)</f>
        <v>F</v>
      </c>
      <c r="N51" s="107" t="str">
        <f>VLOOKUP(WEEKDAY(N52),Sheet1!$L$3:$M$9,2,FALSE)</f>
        <v>S</v>
      </c>
      <c r="O51" s="107" t="str">
        <f>VLOOKUP(WEEKDAY(O52),Sheet1!$L$3:$M$9,2,FALSE)</f>
        <v>S</v>
      </c>
      <c r="P51" s="107" t="str">
        <f>VLOOKUP(WEEKDAY(P52),Sheet1!$L$3:$M$9,2,FALSE)</f>
        <v>M</v>
      </c>
      <c r="Q51" s="107" t="str">
        <f>VLOOKUP(WEEKDAY(Q52),Sheet1!$L$3:$M$9,2,FALSE)</f>
        <v>T</v>
      </c>
      <c r="R51" s="107" t="str">
        <f>VLOOKUP(WEEKDAY(R52),Sheet1!$L$3:$M$9,2,FALSE)</f>
        <v>W</v>
      </c>
      <c r="S51" s="107" t="str">
        <f>VLOOKUP(WEEKDAY(S52),Sheet1!$L$3:$M$9,2,FALSE)</f>
        <v>R</v>
      </c>
      <c r="T51" s="107" t="str">
        <f>VLOOKUP(WEEKDAY(T52),Sheet1!$L$3:$M$9,2,FALSE)</f>
        <v>F</v>
      </c>
      <c r="U51" s="107" t="str">
        <f>VLOOKUP(WEEKDAY(U52),Sheet1!$L$3:$M$9,2,FALSE)</f>
        <v>S</v>
      </c>
      <c r="V51" s="107" t="str">
        <f>VLOOKUP(WEEKDAY(V52),Sheet1!$L$3:$M$9,2,FALSE)</f>
        <v>S</v>
      </c>
      <c r="W51" s="107" t="str">
        <f>VLOOKUP(WEEKDAY(W52),Sheet1!$L$3:$M$9,2,FALSE)</f>
        <v>M</v>
      </c>
      <c r="X51" s="107" t="str">
        <f>VLOOKUP(WEEKDAY(X52),Sheet1!$L$3:$M$9,2,FALSE)</f>
        <v>T</v>
      </c>
      <c r="Y51" s="107" t="str">
        <f>VLOOKUP(WEEKDAY(Y52),Sheet1!$L$3:$M$9,2,FALSE)</f>
        <v>W</v>
      </c>
      <c r="Z51" s="107" t="str">
        <f>VLOOKUP(WEEKDAY(Z52),Sheet1!$L$3:$M$9,2,FALSE)</f>
        <v>R</v>
      </c>
      <c r="AA51" s="107" t="str">
        <f>VLOOKUP(WEEKDAY(AA52),Sheet1!$L$3:$M$9,2,FALSE)</f>
        <v>F</v>
      </c>
      <c r="AB51" s="107" t="str">
        <f>VLOOKUP(WEEKDAY(AB52),Sheet1!$L$3:$M$9,2,FALSE)</f>
        <v>S</v>
      </c>
      <c r="AC51" s="107" t="str">
        <f>VLOOKUP(WEEKDAY(AC52),Sheet1!$L$3:$M$9,2,FALSE)</f>
        <v>S</v>
      </c>
      <c r="AD51" s="107" t="str">
        <f>VLOOKUP(WEEKDAY(AD52),Sheet1!$L$3:$M$9,2,FALSE)</f>
        <v>M</v>
      </c>
      <c r="AE51" s="107" t="str">
        <f>VLOOKUP(WEEKDAY(AE52),Sheet1!$L$3:$M$9,2,FALSE)</f>
        <v>T</v>
      </c>
      <c r="AF51" s="107" t="str">
        <f>VLOOKUP(WEEKDAY(AF52),Sheet1!$L$3:$M$9,2,FALSE)</f>
        <v>W</v>
      </c>
      <c r="AG51" s="107" t="str">
        <f>VLOOKUP(WEEKDAY(AG52),Sheet1!$L$3:$M$9,2,FALSE)</f>
        <v>R</v>
      </c>
      <c r="AH51" s="107" t="str">
        <f>VLOOKUP(WEEKDAY(AH52),Sheet1!$L$3:$M$9,2,FALSE)</f>
        <v>F</v>
      </c>
      <c r="AI51" s="205" t="s">
        <v>10</v>
      </c>
      <c r="AJ51" s="94"/>
    </row>
    <row r="52" spans="1:36" s="41" customFormat="1" ht="15.75" customHeight="1" x14ac:dyDescent="0.25">
      <c r="A52" s="40"/>
      <c r="B52" s="287"/>
      <c r="C52" s="48"/>
      <c r="D52" s="107">
        <f>DATE(EndCalYear,1,1)</f>
        <v>45658</v>
      </c>
      <c r="E52" s="107">
        <f>DATE(EndCalYear,1,2)</f>
        <v>45659</v>
      </c>
      <c r="F52" s="107">
        <f>DATE(EndCalYear,1,3)</f>
        <v>45660</v>
      </c>
      <c r="G52" s="107">
        <f>DATE(EndCalYear,1,4)</f>
        <v>45661</v>
      </c>
      <c r="H52" s="107">
        <f>DATE(EndCalYear,1,5)</f>
        <v>45662</v>
      </c>
      <c r="I52" s="107">
        <f>DATE(EndCalYear,1,6)</f>
        <v>45663</v>
      </c>
      <c r="J52" s="107">
        <f>DATE(EndCalYear,1,7)</f>
        <v>45664</v>
      </c>
      <c r="K52" s="107">
        <f>DATE(EndCalYear,1,8)</f>
        <v>45665</v>
      </c>
      <c r="L52" s="107">
        <f>DATE(EndCalYear,1,9)</f>
        <v>45666</v>
      </c>
      <c r="M52" s="107">
        <f>DATE(EndCalYear,1,10)</f>
        <v>45667</v>
      </c>
      <c r="N52" s="107">
        <f>DATE(EndCalYear,1,11)</f>
        <v>45668</v>
      </c>
      <c r="O52" s="107">
        <f>DATE(EndCalYear,1,12)</f>
        <v>45669</v>
      </c>
      <c r="P52" s="107">
        <f>DATE(EndCalYear,1,13)</f>
        <v>45670</v>
      </c>
      <c r="Q52" s="107">
        <f>DATE(EndCalYear,1,14)</f>
        <v>45671</v>
      </c>
      <c r="R52" s="107">
        <f>DATE(EndCalYear,1,15)</f>
        <v>45672</v>
      </c>
      <c r="S52" s="107">
        <f>DATE(EndCalYear,1,16)</f>
        <v>45673</v>
      </c>
      <c r="T52" s="107">
        <f>DATE(EndCalYear,1,17)</f>
        <v>45674</v>
      </c>
      <c r="U52" s="107">
        <f>DATE(EndCalYear,1,18)</f>
        <v>45675</v>
      </c>
      <c r="V52" s="107">
        <f>DATE(EndCalYear,1,19)</f>
        <v>45676</v>
      </c>
      <c r="W52" s="107">
        <f>DATE(EndCalYear,1,20)</f>
        <v>45677</v>
      </c>
      <c r="X52" s="107">
        <f>DATE(EndCalYear,1,21)</f>
        <v>45678</v>
      </c>
      <c r="Y52" s="107">
        <f>DATE(EndCalYear,1,22)</f>
        <v>45679</v>
      </c>
      <c r="Z52" s="107">
        <f>DATE(EndCalYear,1,23)</f>
        <v>45680</v>
      </c>
      <c r="AA52" s="107">
        <f>DATE(EndCalYear,1,24)</f>
        <v>45681</v>
      </c>
      <c r="AB52" s="107">
        <f>DATE(EndCalYear,1,25)</f>
        <v>45682</v>
      </c>
      <c r="AC52" s="107">
        <f>DATE(EndCalYear,1,26)</f>
        <v>45683</v>
      </c>
      <c r="AD52" s="107">
        <f>DATE(EndCalYear,1,27)</f>
        <v>45684</v>
      </c>
      <c r="AE52" s="107">
        <f>DATE(EndCalYear,1,28)</f>
        <v>45685</v>
      </c>
      <c r="AF52" s="107">
        <f>DATE(EndCalYear,1,29)</f>
        <v>45686</v>
      </c>
      <c r="AG52" s="107">
        <f>DATE(EndCalYear,1,30)</f>
        <v>45687</v>
      </c>
      <c r="AH52" s="107">
        <f>DATE(EndCalYear,1,31)</f>
        <v>45688</v>
      </c>
      <c r="AI52" s="206"/>
      <c r="AJ52" s="94"/>
    </row>
    <row r="53" spans="1:36" s="41" customFormat="1" ht="18" customHeight="1" x14ac:dyDescent="0.25">
      <c r="A53" s="40"/>
      <c r="B53" s="287"/>
      <c r="C53" s="42" t="s">
        <v>11</v>
      </c>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104">
        <f>SUM(COUNTIF(D53:AH53,"=c")+SUM(COUNTIF(D53:AH53,"=cc")/2)+SUM(D53:AH53))</f>
        <v>0</v>
      </c>
      <c r="AJ53" s="94"/>
    </row>
    <row r="54" spans="1:36" s="41" customFormat="1" ht="18" customHeight="1" x14ac:dyDescent="0.25">
      <c r="A54" s="40"/>
      <c r="B54" s="287"/>
      <c r="C54" s="111" t="s">
        <v>84</v>
      </c>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3">
        <f>SUM(COUNTIF(D54:AH54,"=p")+SUM(COUNTIF(D54:AH54,"=pp")/2))</f>
        <v>0</v>
      </c>
      <c r="AJ54" s="94"/>
    </row>
    <row r="55" spans="1:36" s="41" customFormat="1" ht="18" customHeight="1" x14ac:dyDescent="0.25">
      <c r="A55" s="40"/>
      <c r="B55" s="287"/>
      <c r="C55" s="128" t="s">
        <v>88</v>
      </c>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129">
        <f>SUM(COUNTIF(D55:AH55,"=pd")+SUM(COUNTIF(D55:AH55,"=ppdd")/2))</f>
        <v>0</v>
      </c>
      <c r="AJ55" s="94"/>
    </row>
    <row r="56" spans="1:36" s="41" customFormat="1" ht="18" customHeight="1" x14ac:dyDescent="0.25">
      <c r="A56" s="40"/>
      <c r="B56" s="288"/>
      <c r="C56" s="42" t="s">
        <v>13</v>
      </c>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104">
        <f>SUM(COUNTIF(D56:AH56,"=a")+SUM(COUNTIF(D56:AH56,"=aa")/2))</f>
        <v>0</v>
      </c>
      <c r="AJ56" s="94"/>
    </row>
    <row r="57" spans="1:36" s="41" customFormat="1" ht="6.75" customHeight="1" x14ac:dyDescent="0.25">
      <c r="A57" s="40"/>
      <c r="B57" s="169"/>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7"/>
      <c r="AJ57" s="94"/>
    </row>
    <row r="58" spans="1:36" s="41" customFormat="1" ht="15.75" customHeight="1" x14ac:dyDescent="0.25">
      <c r="A58" s="40"/>
      <c r="B58" s="283" t="s">
        <v>468</v>
      </c>
      <c r="C58" s="48"/>
      <c r="D58" s="107" t="str">
        <f>VLOOKUP(WEEKDAY(D59),Sheet1!$L$3:$M$9,2,FALSE)</f>
        <v>S</v>
      </c>
      <c r="E58" s="107" t="str">
        <f>VLOOKUP(WEEKDAY(E59),Sheet1!$L$3:$M$9,2,FALSE)</f>
        <v>S</v>
      </c>
      <c r="F58" s="107" t="str">
        <f>VLOOKUP(WEEKDAY(F59),Sheet1!$L$3:$M$9,2,FALSE)</f>
        <v>M</v>
      </c>
      <c r="G58" s="107" t="str">
        <f>VLOOKUP(WEEKDAY(G59),Sheet1!$L$3:$M$9,2,FALSE)</f>
        <v>T</v>
      </c>
      <c r="H58" s="107" t="str">
        <f>VLOOKUP(WEEKDAY(H59),Sheet1!$L$3:$M$9,2,FALSE)</f>
        <v>W</v>
      </c>
      <c r="I58" s="107" t="str">
        <f>VLOOKUP(WEEKDAY(I59),Sheet1!$L$3:$M$9,2,FALSE)</f>
        <v>R</v>
      </c>
      <c r="J58" s="107" t="str">
        <f>VLOOKUP(WEEKDAY(J59),Sheet1!$L$3:$M$9,2,FALSE)</f>
        <v>F</v>
      </c>
      <c r="K58" s="107" t="str">
        <f>VLOOKUP(WEEKDAY(K59),Sheet1!$L$3:$M$9,2,FALSE)</f>
        <v>S</v>
      </c>
      <c r="L58" s="107" t="str">
        <f>VLOOKUP(WEEKDAY(L59),Sheet1!$L$3:$M$9,2,FALSE)</f>
        <v>S</v>
      </c>
      <c r="M58" s="107" t="str">
        <f>VLOOKUP(WEEKDAY(M59),Sheet1!$L$3:$M$9,2,FALSE)</f>
        <v>M</v>
      </c>
      <c r="N58" s="107" t="str">
        <f>VLOOKUP(WEEKDAY(N59),Sheet1!$L$3:$M$9,2,FALSE)</f>
        <v>T</v>
      </c>
      <c r="O58" s="107" t="str">
        <f>VLOOKUP(WEEKDAY(O59),Sheet1!$L$3:$M$9,2,FALSE)</f>
        <v>W</v>
      </c>
      <c r="P58" s="107" t="str">
        <f>VLOOKUP(WEEKDAY(P59),Sheet1!$L$3:$M$9,2,FALSE)</f>
        <v>R</v>
      </c>
      <c r="Q58" s="107" t="str">
        <f>VLOOKUP(WEEKDAY(Q59),Sheet1!$L$3:$M$9,2,FALSE)</f>
        <v>F</v>
      </c>
      <c r="R58" s="107" t="str">
        <f>VLOOKUP(WEEKDAY(R59),Sheet1!$L$3:$M$9,2,FALSE)</f>
        <v>S</v>
      </c>
      <c r="S58" s="107" t="str">
        <f>VLOOKUP(WEEKDAY(S59),Sheet1!$L$3:$M$9,2,FALSE)</f>
        <v>S</v>
      </c>
      <c r="T58" s="107" t="str">
        <f>VLOOKUP(WEEKDAY(T59),Sheet1!$L$3:$M$9,2,FALSE)</f>
        <v>M</v>
      </c>
      <c r="U58" s="107" t="str">
        <f>VLOOKUP(WEEKDAY(U59),Sheet1!$L$3:$M$9,2,FALSE)</f>
        <v>T</v>
      </c>
      <c r="V58" s="107" t="str">
        <f>VLOOKUP(WEEKDAY(V59),Sheet1!$L$3:$M$9,2,FALSE)</f>
        <v>W</v>
      </c>
      <c r="W58" s="107" t="str">
        <f>VLOOKUP(WEEKDAY(W59),Sheet1!$L$3:$M$9,2,FALSE)</f>
        <v>R</v>
      </c>
      <c r="X58" s="107" t="str">
        <f>VLOOKUP(WEEKDAY(X59),Sheet1!$L$3:$M$9,2,FALSE)</f>
        <v>F</v>
      </c>
      <c r="Y58" s="107" t="str">
        <f>VLOOKUP(WEEKDAY(Y59),Sheet1!$L$3:$M$9,2,FALSE)</f>
        <v>S</v>
      </c>
      <c r="Z58" s="107" t="str">
        <f>VLOOKUP(WEEKDAY(Z59),Sheet1!$L$3:$M$9,2,FALSE)</f>
        <v>S</v>
      </c>
      <c r="AA58" s="107" t="str">
        <f>VLOOKUP(WEEKDAY(AA59),Sheet1!$L$3:$M$9,2,FALSE)</f>
        <v>M</v>
      </c>
      <c r="AB58" s="107" t="str">
        <f>VLOOKUP(WEEKDAY(AB59),Sheet1!$L$3:$M$9,2,FALSE)</f>
        <v>T</v>
      </c>
      <c r="AC58" s="107" t="str">
        <f>VLOOKUP(WEEKDAY(AC59),Sheet1!$L$3:$M$9,2,FALSE)</f>
        <v>W</v>
      </c>
      <c r="AD58" s="107" t="str">
        <f>VLOOKUP(WEEKDAY(AD59),Sheet1!$L$3:$M$9,2,FALSE)</f>
        <v>R</v>
      </c>
      <c r="AE58" s="107" t="str">
        <f>VLOOKUP(WEEKDAY(AE59),Sheet1!$L$3:$M$9,2,FALSE)</f>
        <v>F</v>
      </c>
      <c r="AF58" s="188" t="str">
        <f>VLOOKUP(WEEKDAY(AF59),Sheet1!$L$3:$M$10,2,FALSE)</f>
        <v>S</v>
      </c>
      <c r="AG58" s="44"/>
      <c r="AH58" s="52"/>
      <c r="AI58" s="200" t="s">
        <v>10</v>
      </c>
      <c r="AJ58" s="94"/>
    </row>
    <row r="59" spans="1:36" s="41" customFormat="1" ht="15.75" customHeight="1" x14ac:dyDescent="0.25">
      <c r="A59" s="40"/>
      <c r="B59" s="284"/>
      <c r="C59" s="48"/>
      <c r="D59" s="107">
        <f>DATE(EndCalYear,2,1)</f>
        <v>45689</v>
      </c>
      <c r="E59" s="107">
        <f>DATE(EndCalYear,2,2)</f>
        <v>45690</v>
      </c>
      <c r="F59" s="107">
        <f>DATE(EndCalYear,2,3)</f>
        <v>45691</v>
      </c>
      <c r="G59" s="107">
        <f>DATE(EndCalYear,2,4)</f>
        <v>45692</v>
      </c>
      <c r="H59" s="107">
        <f>DATE(EndCalYear,2,5)</f>
        <v>45693</v>
      </c>
      <c r="I59" s="107">
        <f>DATE(EndCalYear,2,6)</f>
        <v>45694</v>
      </c>
      <c r="J59" s="107">
        <f>DATE(EndCalYear,2,7)</f>
        <v>45695</v>
      </c>
      <c r="K59" s="107">
        <f>DATE(EndCalYear,2,8)</f>
        <v>45696</v>
      </c>
      <c r="L59" s="107">
        <f>DATE(EndCalYear,2,9)</f>
        <v>45697</v>
      </c>
      <c r="M59" s="107">
        <f>DATE(EndCalYear,2,10)</f>
        <v>45698</v>
      </c>
      <c r="N59" s="107">
        <f>DATE(EndCalYear,2,11)</f>
        <v>45699</v>
      </c>
      <c r="O59" s="107">
        <f>DATE(EndCalYear,2,12)</f>
        <v>45700</v>
      </c>
      <c r="P59" s="107">
        <f>DATE(EndCalYear,2,13)</f>
        <v>45701</v>
      </c>
      <c r="Q59" s="107">
        <f>DATE(EndCalYear,2,14)</f>
        <v>45702</v>
      </c>
      <c r="R59" s="107">
        <f>DATE(EndCalYear,2,15)</f>
        <v>45703</v>
      </c>
      <c r="S59" s="107">
        <f>DATE(EndCalYear,2,16)</f>
        <v>45704</v>
      </c>
      <c r="T59" s="107">
        <f>DATE(EndCalYear,2,17)</f>
        <v>45705</v>
      </c>
      <c r="U59" s="107">
        <f>DATE(EndCalYear,2,18)</f>
        <v>45706</v>
      </c>
      <c r="V59" s="107">
        <f>DATE(EndCalYear,2,19)</f>
        <v>45707</v>
      </c>
      <c r="W59" s="107">
        <f>DATE(EndCalYear,2,20)</f>
        <v>45708</v>
      </c>
      <c r="X59" s="107">
        <f>DATE(EndCalYear,2,21)</f>
        <v>45709</v>
      </c>
      <c r="Y59" s="107">
        <f>DATE(EndCalYear,2,22)</f>
        <v>45710</v>
      </c>
      <c r="Z59" s="107">
        <f>DATE(EndCalYear,2,23)</f>
        <v>45711</v>
      </c>
      <c r="AA59" s="107">
        <f>DATE(EndCalYear,2,24)</f>
        <v>45712</v>
      </c>
      <c r="AB59" s="107">
        <f>DATE(EndCalYear,2,25)</f>
        <v>45713</v>
      </c>
      <c r="AC59" s="107">
        <f>DATE(EndCalYear,2,26)</f>
        <v>45714</v>
      </c>
      <c r="AD59" s="107">
        <f>DATE(EndCalYear,2,27)</f>
        <v>45715</v>
      </c>
      <c r="AE59" s="107">
        <f>DATE(EndCalYear,2,28)</f>
        <v>45716</v>
      </c>
      <c r="AF59" s="188">
        <f>DATE(EndCalYear,2,29)</f>
        <v>45717</v>
      </c>
      <c r="AG59" s="44"/>
      <c r="AH59" s="52"/>
      <c r="AI59" s="201"/>
      <c r="AJ59" s="94"/>
    </row>
    <row r="60" spans="1:36" s="41" customFormat="1" ht="18" customHeight="1" x14ac:dyDescent="0.25">
      <c r="A60" s="40"/>
      <c r="B60" s="284"/>
      <c r="C60" s="42" t="s">
        <v>11</v>
      </c>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4"/>
      <c r="AG60" s="44"/>
      <c r="AH60" s="52"/>
      <c r="AI60" s="104">
        <f>SUM(COUNTIF(D60:AH60,"=c")+SUM(COUNTIF(D60:AH60,"=cc")/2)+SUM(D60:AH60))</f>
        <v>0</v>
      </c>
      <c r="AJ60" s="94"/>
    </row>
    <row r="61" spans="1:36" s="41" customFormat="1" ht="18" customHeight="1" x14ac:dyDescent="0.25">
      <c r="A61" s="40"/>
      <c r="B61" s="284"/>
      <c r="C61" s="111" t="s">
        <v>84</v>
      </c>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5"/>
      <c r="AG61" s="115"/>
      <c r="AH61" s="116"/>
      <c r="AI61" s="113">
        <f>SUM(COUNTIF(D61:AH61,"=p")+SUM(COUNTIF(D61:AH61,"=pp")/2))</f>
        <v>0</v>
      </c>
      <c r="AJ61" s="94"/>
    </row>
    <row r="62" spans="1:36" s="41" customFormat="1" ht="18" customHeight="1" x14ac:dyDescent="0.25">
      <c r="A62" s="40"/>
      <c r="B62" s="284"/>
      <c r="C62" s="128" t="s">
        <v>88</v>
      </c>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4"/>
      <c r="AG62" s="44"/>
      <c r="AH62" s="52"/>
      <c r="AI62" s="129">
        <f>SUM(COUNTIF(D62:AH62,"=pd")+SUM(COUNTIF(D62:AH62,"=ppdd")/2))</f>
        <v>0</v>
      </c>
      <c r="AJ62" s="94"/>
    </row>
    <row r="63" spans="1:36" s="41" customFormat="1" ht="18" customHeight="1" x14ac:dyDescent="0.25">
      <c r="A63" s="40"/>
      <c r="B63" s="285"/>
      <c r="C63" s="42" t="s">
        <v>13</v>
      </c>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4"/>
      <c r="AG63" s="44"/>
      <c r="AH63" s="52"/>
      <c r="AI63" s="104">
        <f>SUM(COUNTIF(D63:AH63,"=a")+SUM(COUNTIF(D63:AH63,"=aa")/2))</f>
        <v>0</v>
      </c>
      <c r="AJ63" s="94"/>
    </row>
    <row r="64" spans="1:36" s="41" customFormat="1" ht="6.75" customHeight="1" x14ac:dyDescent="0.25">
      <c r="A64" s="40"/>
      <c r="B64" s="169"/>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7"/>
      <c r="AJ64" s="94"/>
    </row>
    <row r="65" spans="1:36" s="41" customFormat="1" ht="15.75" customHeight="1" x14ac:dyDescent="0.25">
      <c r="A65" s="40"/>
      <c r="B65" s="240" t="s">
        <v>469</v>
      </c>
      <c r="C65" s="48"/>
      <c r="D65" s="107" t="str">
        <f>VLOOKUP(WEEKDAY(D66),Sheet1!$L$3:$M$9,2,FALSE)</f>
        <v>S</v>
      </c>
      <c r="E65" s="107" t="str">
        <f>VLOOKUP(WEEKDAY(E66),Sheet1!$L$3:$M$9,2,FALSE)</f>
        <v>S</v>
      </c>
      <c r="F65" s="107" t="str">
        <f>VLOOKUP(WEEKDAY(F66),Sheet1!$L$3:$M$9,2,FALSE)</f>
        <v>M</v>
      </c>
      <c r="G65" s="107" t="str">
        <f>VLOOKUP(WEEKDAY(G66),Sheet1!$L$3:$M$9,2,FALSE)</f>
        <v>T</v>
      </c>
      <c r="H65" s="107" t="str">
        <f>VLOOKUP(WEEKDAY(H66),Sheet1!$L$3:$M$9,2,FALSE)</f>
        <v>W</v>
      </c>
      <c r="I65" s="107" t="str">
        <f>VLOOKUP(WEEKDAY(I66),Sheet1!$L$3:$M$9,2,FALSE)</f>
        <v>R</v>
      </c>
      <c r="J65" s="107" t="str">
        <f>VLOOKUP(WEEKDAY(J66),Sheet1!$L$3:$M$9,2,FALSE)</f>
        <v>F</v>
      </c>
      <c r="K65" s="107" t="str">
        <f>VLOOKUP(WEEKDAY(K66),Sheet1!$L$3:$M$9,2,FALSE)</f>
        <v>S</v>
      </c>
      <c r="L65" s="107" t="str">
        <f>VLOOKUP(WEEKDAY(L66),Sheet1!$L$3:$M$9,2,FALSE)</f>
        <v>S</v>
      </c>
      <c r="M65" s="107" t="str">
        <f>VLOOKUP(WEEKDAY(M66),Sheet1!$L$3:$M$9,2,FALSE)</f>
        <v>M</v>
      </c>
      <c r="N65" s="107" t="str">
        <f>VLOOKUP(WEEKDAY(N66),Sheet1!$L$3:$M$9,2,FALSE)</f>
        <v>T</v>
      </c>
      <c r="O65" s="107" t="str">
        <f>VLOOKUP(WEEKDAY(O66),Sheet1!$L$3:$M$9,2,FALSE)</f>
        <v>W</v>
      </c>
      <c r="P65" s="107" t="str">
        <f>VLOOKUP(WEEKDAY(P66),Sheet1!$L$3:$M$9,2,FALSE)</f>
        <v>R</v>
      </c>
      <c r="Q65" s="107" t="str">
        <f>VLOOKUP(WEEKDAY(Q66),Sheet1!$L$3:$M$9,2,FALSE)</f>
        <v>F</v>
      </c>
      <c r="R65" s="107" t="str">
        <f>VLOOKUP(WEEKDAY(R66),Sheet1!$L$3:$M$9,2,FALSE)</f>
        <v>S</v>
      </c>
      <c r="S65" s="107" t="str">
        <f>VLOOKUP(WEEKDAY(S66),Sheet1!$L$3:$M$9,2,FALSE)</f>
        <v>S</v>
      </c>
      <c r="T65" s="107" t="str">
        <f>VLOOKUP(WEEKDAY(T66),Sheet1!$L$3:$M$9,2,FALSE)</f>
        <v>M</v>
      </c>
      <c r="U65" s="107" t="str">
        <f>VLOOKUP(WEEKDAY(U66),Sheet1!$L$3:$M$9,2,FALSE)</f>
        <v>T</v>
      </c>
      <c r="V65" s="107" t="str">
        <f>VLOOKUP(WEEKDAY(V66),Sheet1!$L$3:$M$9,2,FALSE)</f>
        <v>W</v>
      </c>
      <c r="W65" s="107" t="str">
        <f>VLOOKUP(WEEKDAY(W66),Sheet1!$L$3:$M$9,2,FALSE)</f>
        <v>R</v>
      </c>
      <c r="X65" s="107" t="str">
        <f>VLOOKUP(WEEKDAY(X66),Sheet1!$L$3:$M$9,2,FALSE)</f>
        <v>F</v>
      </c>
      <c r="Y65" s="107" t="str">
        <f>VLOOKUP(WEEKDAY(Y66),Sheet1!$L$3:$M$9,2,FALSE)</f>
        <v>S</v>
      </c>
      <c r="Z65" s="107" t="str">
        <f>VLOOKUP(WEEKDAY(Z66),Sheet1!$L$3:$M$9,2,FALSE)</f>
        <v>S</v>
      </c>
      <c r="AA65" s="107" t="str">
        <f>VLOOKUP(WEEKDAY(AA66),Sheet1!$L$3:$M$9,2,FALSE)</f>
        <v>M</v>
      </c>
      <c r="AB65" s="107" t="str">
        <f>VLOOKUP(WEEKDAY(AB66),Sheet1!$L$3:$M$9,2,FALSE)</f>
        <v>T</v>
      </c>
      <c r="AC65" s="107" t="str">
        <f>VLOOKUP(WEEKDAY(AC66),Sheet1!$L$3:$M$9,2,FALSE)</f>
        <v>W</v>
      </c>
      <c r="AD65" s="107" t="str">
        <f>VLOOKUP(WEEKDAY(AD66),Sheet1!$L$3:$M$9,2,FALSE)</f>
        <v>R</v>
      </c>
      <c r="AE65" s="107" t="str">
        <f>VLOOKUP(WEEKDAY(AE66),Sheet1!$L$3:$M$9,2,FALSE)</f>
        <v>F</v>
      </c>
      <c r="AF65" s="107" t="str">
        <f>VLOOKUP(WEEKDAY(AF66),Sheet1!$L$3:$M$9,2,FALSE)</f>
        <v>S</v>
      </c>
      <c r="AG65" s="107" t="str">
        <f>VLOOKUP(WEEKDAY(AG66),Sheet1!$L$3:$M$9,2,FALSE)</f>
        <v>S</v>
      </c>
      <c r="AH65" s="107" t="str">
        <f>VLOOKUP(WEEKDAY(AH66),Sheet1!$L$3:$M$9,2,FALSE)</f>
        <v>M</v>
      </c>
      <c r="AI65" s="200" t="s">
        <v>10</v>
      </c>
      <c r="AJ65" s="94"/>
    </row>
    <row r="66" spans="1:36" s="41" customFormat="1" ht="15.75" customHeight="1" x14ac:dyDescent="0.25">
      <c r="A66" s="40"/>
      <c r="B66" s="241"/>
      <c r="C66" s="48"/>
      <c r="D66" s="107">
        <f>DATE(EndCalYear,3,1)</f>
        <v>45717</v>
      </c>
      <c r="E66" s="107">
        <f>DATE(EndCalYear,3,2)</f>
        <v>45718</v>
      </c>
      <c r="F66" s="107">
        <f>DATE(EndCalYear,3,3)</f>
        <v>45719</v>
      </c>
      <c r="G66" s="107">
        <f>DATE(EndCalYear,3,4)</f>
        <v>45720</v>
      </c>
      <c r="H66" s="107">
        <f>DATE(EndCalYear,3,5)</f>
        <v>45721</v>
      </c>
      <c r="I66" s="107">
        <f>DATE(EndCalYear,3,6)</f>
        <v>45722</v>
      </c>
      <c r="J66" s="107">
        <f>DATE(EndCalYear,3,7)</f>
        <v>45723</v>
      </c>
      <c r="K66" s="107">
        <f>DATE(EndCalYear,3,8)</f>
        <v>45724</v>
      </c>
      <c r="L66" s="107">
        <f>DATE(EndCalYear,3,9)</f>
        <v>45725</v>
      </c>
      <c r="M66" s="107">
        <f>DATE(EndCalYear,3,10)</f>
        <v>45726</v>
      </c>
      <c r="N66" s="107">
        <f>DATE(EndCalYear,3,11)</f>
        <v>45727</v>
      </c>
      <c r="O66" s="107">
        <f>DATE(EndCalYear,3,12)</f>
        <v>45728</v>
      </c>
      <c r="P66" s="107">
        <f>DATE(EndCalYear,3,13)</f>
        <v>45729</v>
      </c>
      <c r="Q66" s="107">
        <f>DATE(EndCalYear,3,14)</f>
        <v>45730</v>
      </c>
      <c r="R66" s="107">
        <f>DATE(EndCalYear,3,15)</f>
        <v>45731</v>
      </c>
      <c r="S66" s="107">
        <f>DATE(EndCalYear,3,16)</f>
        <v>45732</v>
      </c>
      <c r="T66" s="107">
        <f>DATE(EndCalYear,3,17)</f>
        <v>45733</v>
      </c>
      <c r="U66" s="107">
        <f>DATE(EndCalYear,3,18)</f>
        <v>45734</v>
      </c>
      <c r="V66" s="107">
        <f>DATE(EndCalYear,3,19)</f>
        <v>45735</v>
      </c>
      <c r="W66" s="107">
        <f>DATE(EndCalYear,3,20)</f>
        <v>45736</v>
      </c>
      <c r="X66" s="107">
        <f>DATE(EndCalYear,3,21)</f>
        <v>45737</v>
      </c>
      <c r="Y66" s="107">
        <f>DATE(EndCalYear,3,22)</f>
        <v>45738</v>
      </c>
      <c r="Z66" s="107">
        <f>DATE(EndCalYear,3,23)</f>
        <v>45739</v>
      </c>
      <c r="AA66" s="107">
        <f>DATE(EndCalYear,3,24)</f>
        <v>45740</v>
      </c>
      <c r="AB66" s="107">
        <f>DATE(EndCalYear,3,25)</f>
        <v>45741</v>
      </c>
      <c r="AC66" s="107">
        <f>DATE(EndCalYear,3,26)</f>
        <v>45742</v>
      </c>
      <c r="AD66" s="107">
        <f>DATE(EndCalYear,3,27)</f>
        <v>45743</v>
      </c>
      <c r="AE66" s="107">
        <f>DATE(EndCalYear,3,28)</f>
        <v>45744</v>
      </c>
      <c r="AF66" s="107">
        <f>DATE(EndCalYear,3,29)</f>
        <v>45745</v>
      </c>
      <c r="AG66" s="107">
        <f>DATE(EndCalYear,3,30)</f>
        <v>45746</v>
      </c>
      <c r="AH66" s="107">
        <f>DATE(EndCalYear,3,31)</f>
        <v>45747</v>
      </c>
      <c r="AI66" s="201"/>
      <c r="AJ66" s="94"/>
    </row>
    <row r="67" spans="1:36" s="41" customFormat="1" ht="18" customHeight="1" x14ac:dyDescent="0.25">
      <c r="A67" s="40"/>
      <c r="B67" s="241"/>
      <c r="C67" s="42" t="s">
        <v>11</v>
      </c>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104">
        <f>SUM(COUNTIF(D67:AH67,"=c")+SUM(COUNTIF(D67:AH67,"=cc")/2)+SUM(D67:AH67))</f>
        <v>0</v>
      </c>
      <c r="AJ67" s="94"/>
    </row>
    <row r="68" spans="1:36" s="41" customFormat="1" ht="18" customHeight="1" x14ac:dyDescent="0.25">
      <c r="A68" s="40"/>
      <c r="B68" s="241"/>
      <c r="C68" s="111" t="s">
        <v>84</v>
      </c>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3">
        <f>SUM(COUNTIF(D68:AH68,"=p")+SUM(COUNTIF(D68:AH68,"=pp")/2))</f>
        <v>0</v>
      </c>
      <c r="AJ68" s="94"/>
    </row>
    <row r="69" spans="1:36" s="41" customFormat="1" ht="18" customHeight="1" x14ac:dyDescent="0.25">
      <c r="A69" s="40"/>
      <c r="B69" s="241"/>
      <c r="C69" s="128" t="s">
        <v>88</v>
      </c>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129">
        <f>SUM(COUNTIF(D69:AH69,"=pd")+SUM(COUNTIF(D69:AH69,"=ppdd")/2))</f>
        <v>0</v>
      </c>
      <c r="AJ69" s="94"/>
    </row>
    <row r="70" spans="1:36" s="41" customFormat="1" ht="18" customHeight="1" x14ac:dyDescent="0.25">
      <c r="A70" s="40"/>
      <c r="B70" s="242"/>
      <c r="C70" s="42" t="s">
        <v>13</v>
      </c>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104">
        <f>SUM(COUNTIF(D70:AH70,"=a")+SUM(COUNTIF(D70:AH70,"=aa")/2))</f>
        <v>0</v>
      </c>
      <c r="AJ70" s="94"/>
    </row>
    <row r="71" spans="1:36" s="41" customFormat="1" ht="6.75" customHeight="1" x14ac:dyDescent="0.25">
      <c r="A71" s="40"/>
      <c r="B71" s="169"/>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7"/>
      <c r="AJ71" s="94"/>
    </row>
    <row r="72" spans="1:36" s="41" customFormat="1" ht="15.75" customHeight="1" x14ac:dyDescent="0.25">
      <c r="A72" s="40"/>
      <c r="B72" s="240" t="s">
        <v>470</v>
      </c>
      <c r="C72" s="48"/>
      <c r="D72" s="107" t="str">
        <f>VLOOKUP(WEEKDAY(D73),Sheet1!$L$3:$M$9,2,FALSE)</f>
        <v>T</v>
      </c>
      <c r="E72" s="107" t="str">
        <f>VLOOKUP(WEEKDAY(E73),Sheet1!$L$3:$M$9,2,FALSE)</f>
        <v>W</v>
      </c>
      <c r="F72" s="107" t="str">
        <f>VLOOKUP(WEEKDAY(F73),Sheet1!$L$3:$M$9,2,FALSE)</f>
        <v>R</v>
      </c>
      <c r="G72" s="107" t="str">
        <f>VLOOKUP(WEEKDAY(G73),Sheet1!$L$3:$M$9,2,FALSE)</f>
        <v>F</v>
      </c>
      <c r="H72" s="107" t="str">
        <f>VLOOKUP(WEEKDAY(H73),Sheet1!$L$3:$M$9,2,FALSE)</f>
        <v>S</v>
      </c>
      <c r="I72" s="107" t="str">
        <f>VLOOKUP(WEEKDAY(I73),Sheet1!$L$3:$M$9,2,FALSE)</f>
        <v>S</v>
      </c>
      <c r="J72" s="107" t="str">
        <f>VLOOKUP(WEEKDAY(J73),Sheet1!$L$3:$M$9,2,FALSE)</f>
        <v>M</v>
      </c>
      <c r="K72" s="107" t="str">
        <f>VLOOKUP(WEEKDAY(K73),Sheet1!$L$3:$M$9,2,FALSE)</f>
        <v>T</v>
      </c>
      <c r="L72" s="107" t="str">
        <f>VLOOKUP(WEEKDAY(L73),Sheet1!$L$3:$M$9,2,FALSE)</f>
        <v>W</v>
      </c>
      <c r="M72" s="107" t="str">
        <f>VLOOKUP(WEEKDAY(M73),Sheet1!$L$3:$M$9,2,FALSE)</f>
        <v>R</v>
      </c>
      <c r="N72" s="107" t="str">
        <f>VLOOKUP(WEEKDAY(N73),Sheet1!$L$3:$M$9,2,FALSE)</f>
        <v>F</v>
      </c>
      <c r="O72" s="107" t="str">
        <f>VLOOKUP(WEEKDAY(O73),Sheet1!$L$3:$M$9,2,FALSE)</f>
        <v>S</v>
      </c>
      <c r="P72" s="107" t="str">
        <f>VLOOKUP(WEEKDAY(P73),Sheet1!$L$3:$M$9,2,FALSE)</f>
        <v>S</v>
      </c>
      <c r="Q72" s="107" t="str">
        <f>VLOOKUP(WEEKDAY(Q73),Sheet1!$L$3:$M$9,2,FALSE)</f>
        <v>M</v>
      </c>
      <c r="R72" s="107" t="str">
        <f>VLOOKUP(WEEKDAY(R73),Sheet1!$L$3:$M$9,2,FALSE)</f>
        <v>T</v>
      </c>
      <c r="S72" s="107" t="str">
        <f>VLOOKUP(WEEKDAY(S73),Sheet1!$L$3:$M$9,2,FALSE)</f>
        <v>W</v>
      </c>
      <c r="T72" s="107" t="str">
        <f>VLOOKUP(WEEKDAY(T73),Sheet1!$L$3:$M$9,2,FALSE)</f>
        <v>R</v>
      </c>
      <c r="U72" s="107" t="str">
        <f>VLOOKUP(WEEKDAY(U73),Sheet1!$L$3:$M$9,2,FALSE)</f>
        <v>F</v>
      </c>
      <c r="V72" s="107" t="str">
        <f>VLOOKUP(WEEKDAY(V73),Sheet1!$L$3:$M$9,2,FALSE)</f>
        <v>S</v>
      </c>
      <c r="W72" s="107" t="str">
        <f>VLOOKUP(WEEKDAY(W73),Sheet1!$L$3:$M$9,2,FALSE)</f>
        <v>S</v>
      </c>
      <c r="X72" s="107" t="str">
        <f>VLOOKUP(WEEKDAY(X73),Sheet1!$L$3:$M$9,2,FALSE)</f>
        <v>M</v>
      </c>
      <c r="Y72" s="107" t="str">
        <f>VLOOKUP(WEEKDAY(Y73),Sheet1!$L$3:$M$9,2,FALSE)</f>
        <v>T</v>
      </c>
      <c r="Z72" s="107" t="str">
        <f>VLOOKUP(WEEKDAY(Z73),Sheet1!$L$3:$M$9,2,FALSE)</f>
        <v>W</v>
      </c>
      <c r="AA72" s="107" t="str">
        <f>VLOOKUP(WEEKDAY(AA73),Sheet1!$L$3:$M$9,2,FALSE)</f>
        <v>R</v>
      </c>
      <c r="AB72" s="107" t="str">
        <f>VLOOKUP(WEEKDAY(AB73),Sheet1!$L$3:$M$9,2,FALSE)</f>
        <v>F</v>
      </c>
      <c r="AC72" s="107" t="str">
        <f>VLOOKUP(WEEKDAY(AC73),Sheet1!$L$3:$M$9,2,FALSE)</f>
        <v>S</v>
      </c>
      <c r="AD72" s="107" t="str">
        <f>VLOOKUP(WEEKDAY(AD73),Sheet1!$L$3:$M$9,2,FALSE)</f>
        <v>S</v>
      </c>
      <c r="AE72" s="107" t="str">
        <f>VLOOKUP(WEEKDAY(AE73),Sheet1!$L$3:$M$9,2,FALSE)</f>
        <v>M</v>
      </c>
      <c r="AF72" s="107" t="str">
        <f>VLOOKUP(WEEKDAY(AF73),Sheet1!$L$3:$M$9,2,FALSE)</f>
        <v>T</v>
      </c>
      <c r="AG72" s="107" t="str">
        <f>VLOOKUP(WEEKDAY(AG73),Sheet1!$L$3:$M$9,2,FALSE)</f>
        <v>W</v>
      </c>
      <c r="AH72" s="52"/>
      <c r="AI72" s="200" t="s">
        <v>10</v>
      </c>
      <c r="AJ72" s="94"/>
    </row>
    <row r="73" spans="1:36" s="41" customFormat="1" ht="15.75" customHeight="1" x14ac:dyDescent="0.25">
      <c r="A73" s="40"/>
      <c r="B73" s="241"/>
      <c r="C73" s="48"/>
      <c r="D73" s="107">
        <f>DATE(EndCalYear,4,1)</f>
        <v>45748</v>
      </c>
      <c r="E73" s="107">
        <f>DATE(EndCalYear,4,2)</f>
        <v>45749</v>
      </c>
      <c r="F73" s="107">
        <f>DATE(EndCalYear,4,3)</f>
        <v>45750</v>
      </c>
      <c r="G73" s="107">
        <f>DATE(EndCalYear,4,4)</f>
        <v>45751</v>
      </c>
      <c r="H73" s="107">
        <f>DATE(EndCalYear,4,5)</f>
        <v>45752</v>
      </c>
      <c r="I73" s="107">
        <f>DATE(EndCalYear,4,6)</f>
        <v>45753</v>
      </c>
      <c r="J73" s="107">
        <f>DATE(EndCalYear,4,7)</f>
        <v>45754</v>
      </c>
      <c r="K73" s="107">
        <f>DATE(EndCalYear,4,8)</f>
        <v>45755</v>
      </c>
      <c r="L73" s="107">
        <f>DATE(EndCalYear,4,9)</f>
        <v>45756</v>
      </c>
      <c r="M73" s="107">
        <f>DATE(EndCalYear,4,10)</f>
        <v>45757</v>
      </c>
      <c r="N73" s="107">
        <f>DATE(EndCalYear,4,11)</f>
        <v>45758</v>
      </c>
      <c r="O73" s="107">
        <f>DATE(EndCalYear,4,12)</f>
        <v>45759</v>
      </c>
      <c r="P73" s="107">
        <f>DATE(EndCalYear,4,13)</f>
        <v>45760</v>
      </c>
      <c r="Q73" s="107">
        <f>DATE(EndCalYear,4,14)</f>
        <v>45761</v>
      </c>
      <c r="R73" s="107">
        <f>DATE(EndCalYear,4,15)</f>
        <v>45762</v>
      </c>
      <c r="S73" s="107">
        <f>DATE(EndCalYear,4,16)</f>
        <v>45763</v>
      </c>
      <c r="T73" s="107">
        <f>DATE(EndCalYear,4,17)</f>
        <v>45764</v>
      </c>
      <c r="U73" s="107">
        <f>DATE(EndCalYear,4,18)</f>
        <v>45765</v>
      </c>
      <c r="V73" s="107">
        <f>DATE(EndCalYear,4,19)</f>
        <v>45766</v>
      </c>
      <c r="W73" s="107">
        <f>DATE(EndCalYear,4,20)</f>
        <v>45767</v>
      </c>
      <c r="X73" s="107">
        <f>DATE(EndCalYear,4,21)</f>
        <v>45768</v>
      </c>
      <c r="Y73" s="107">
        <f>DATE(EndCalYear,4,22)</f>
        <v>45769</v>
      </c>
      <c r="Z73" s="107">
        <f>DATE(EndCalYear,4,23)</f>
        <v>45770</v>
      </c>
      <c r="AA73" s="107">
        <f>DATE(EndCalYear,4,24)</f>
        <v>45771</v>
      </c>
      <c r="AB73" s="107">
        <f>DATE(EndCalYear,4,25)</f>
        <v>45772</v>
      </c>
      <c r="AC73" s="107">
        <f>DATE(EndCalYear,4,26)</f>
        <v>45773</v>
      </c>
      <c r="AD73" s="107">
        <f>DATE(EndCalYear,4,27)</f>
        <v>45774</v>
      </c>
      <c r="AE73" s="107">
        <f>DATE(EndCalYear,4,28)</f>
        <v>45775</v>
      </c>
      <c r="AF73" s="107">
        <f>DATE(EndCalYear,4,29)</f>
        <v>45776</v>
      </c>
      <c r="AG73" s="107">
        <f>DATE(EndCalYear,4,30)</f>
        <v>45777</v>
      </c>
      <c r="AH73" s="52"/>
      <c r="AI73" s="201"/>
      <c r="AJ73" s="94"/>
    </row>
    <row r="74" spans="1:36" s="41" customFormat="1" ht="18" customHeight="1" x14ac:dyDescent="0.25">
      <c r="A74" s="40"/>
      <c r="B74" s="241"/>
      <c r="C74" s="42" t="s">
        <v>11</v>
      </c>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52"/>
      <c r="AI74" s="104">
        <f>SUM(COUNTIF(D74:AH74,"=c")+SUM(COUNTIF(D74:AH74,"=cc")/2)+SUM(D74:AH74))</f>
        <v>0</v>
      </c>
      <c r="AJ74" s="94"/>
    </row>
    <row r="75" spans="1:36" s="41" customFormat="1" ht="18" customHeight="1" x14ac:dyDescent="0.25">
      <c r="A75" s="40"/>
      <c r="B75" s="241"/>
      <c r="C75" s="111" t="s">
        <v>84</v>
      </c>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6"/>
      <c r="AI75" s="113">
        <f>SUM(COUNTIF(D75:AH75,"=p")+SUM(COUNTIF(D75:AH75,"=pp")/2))</f>
        <v>0</v>
      </c>
      <c r="AJ75" s="94"/>
    </row>
    <row r="76" spans="1:36" s="41" customFormat="1" ht="18" customHeight="1" x14ac:dyDescent="0.25">
      <c r="A76" s="40"/>
      <c r="B76" s="241"/>
      <c r="C76" s="128" t="s">
        <v>88</v>
      </c>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52"/>
      <c r="AI76" s="129">
        <f>SUM(COUNTIF(D76:AH76,"=pd")+SUM(COUNTIF(D76:AH76,"=ppdd")/2))</f>
        <v>0</v>
      </c>
      <c r="AJ76" s="94"/>
    </row>
    <row r="77" spans="1:36" s="41" customFormat="1" ht="18" customHeight="1" x14ac:dyDescent="0.25">
      <c r="A77" s="40"/>
      <c r="B77" s="242"/>
      <c r="C77" s="42" t="s">
        <v>13</v>
      </c>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52"/>
      <c r="AI77" s="104">
        <f>SUM(COUNTIF(D77:AH77,"=a")+SUM(COUNTIF(D77:AH77,"=aa")/2))</f>
        <v>0</v>
      </c>
      <c r="AJ77" s="94"/>
    </row>
    <row r="78" spans="1:36" s="41" customFormat="1" ht="6.75" customHeight="1" x14ac:dyDescent="0.25">
      <c r="A78" s="40"/>
      <c r="B78" s="169"/>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7"/>
      <c r="AJ78" s="94"/>
    </row>
    <row r="79" spans="1:36" s="41" customFormat="1" ht="15.75" customHeight="1" x14ac:dyDescent="0.25">
      <c r="A79" s="40"/>
      <c r="B79" s="240" t="s">
        <v>471</v>
      </c>
      <c r="C79" s="48"/>
      <c r="D79" s="107" t="str">
        <f>VLOOKUP(WEEKDAY(D80),Sheet1!$L$3:$M$9,2,FALSE)</f>
        <v>R</v>
      </c>
      <c r="E79" s="107" t="str">
        <f>VLOOKUP(WEEKDAY(E80),Sheet1!$L$3:$M$9,2,FALSE)</f>
        <v>F</v>
      </c>
      <c r="F79" s="107" t="str">
        <f>VLOOKUP(WEEKDAY(F80),Sheet1!$L$3:$M$9,2,FALSE)</f>
        <v>S</v>
      </c>
      <c r="G79" s="107" t="str">
        <f>VLOOKUP(WEEKDAY(G80),Sheet1!$L$3:$M$9,2,FALSE)</f>
        <v>S</v>
      </c>
      <c r="H79" s="107" t="str">
        <f>VLOOKUP(WEEKDAY(H80),Sheet1!$L$3:$M$9,2,FALSE)</f>
        <v>M</v>
      </c>
      <c r="I79" s="107" t="str">
        <f>VLOOKUP(WEEKDAY(I80),Sheet1!$L$3:$M$9,2,FALSE)</f>
        <v>T</v>
      </c>
      <c r="J79" s="107" t="str">
        <f>VLOOKUP(WEEKDAY(J80),Sheet1!$L$3:$M$9,2,FALSE)</f>
        <v>W</v>
      </c>
      <c r="K79" s="107" t="str">
        <f>VLOOKUP(WEEKDAY(K80),Sheet1!$L$3:$M$9,2,FALSE)</f>
        <v>R</v>
      </c>
      <c r="L79" s="107" t="str">
        <f>VLOOKUP(WEEKDAY(L80),Sheet1!$L$3:$M$9,2,FALSE)</f>
        <v>F</v>
      </c>
      <c r="M79" s="107" t="str">
        <f>VLOOKUP(WEEKDAY(M80),Sheet1!$L$3:$M$9,2,FALSE)</f>
        <v>S</v>
      </c>
      <c r="N79" s="107" t="str">
        <f>VLOOKUP(WEEKDAY(N80),Sheet1!$L$3:$M$9,2,FALSE)</f>
        <v>S</v>
      </c>
      <c r="O79" s="107" t="str">
        <f>VLOOKUP(WEEKDAY(O80),Sheet1!$L$3:$M$9,2,FALSE)</f>
        <v>M</v>
      </c>
      <c r="P79" s="107" t="str">
        <f>VLOOKUP(WEEKDAY(P80),Sheet1!$L$3:$M$9,2,FALSE)</f>
        <v>T</v>
      </c>
      <c r="Q79" s="107" t="str">
        <f>VLOOKUP(WEEKDAY(Q80),Sheet1!$L$3:$M$9,2,FALSE)</f>
        <v>W</v>
      </c>
      <c r="R79" s="107" t="str">
        <f>VLOOKUP(WEEKDAY(R80),Sheet1!$L$3:$M$9,2,FALSE)</f>
        <v>R</v>
      </c>
      <c r="S79" s="107" t="str">
        <f>VLOOKUP(WEEKDAY(S80),Sheet1!$L$3:$M$9,2,FALSE)</f>
        <v>F</v>
      </c>
      <c r="T79" s="107" t="str">
        <f>VLOOKUP(WEEKDAY(T80),Sheet1!$L$3:$M$9,2,FALSE)</f>
        <v>S</v>
      </c>
      <c r="U79" s="107" t="str">
        <f>VLOOKUP(WEEKDAY(U80),Sheet1!$L$3:$M$9,2,FALSE)</f>
        <v>S</v>
      </c>
      <c r="V79" s="107" t="str">
        <f>VLOOKUP(WEEKDAY(V80),Sheet1!$L$3:$M$9,2,FALSE)</f>
        <v>M</v>
      </c>
      <c r="W79" s="107" t="str">
        <f>VLOOKUP(WEEKDAY(W80),Sheet1!$L$3:$M$9,2,FALSE)</f>
        <v>T</v>
      </c>
      <c r="X79" s="107" t="str">
        <f>VLOOKUP(WEEKDAY(X80),Sheet1!$L$3:$M$9,2,FALSE)</f>
        <v>W</v>
      </c>
      <c r="Y79" s="107" t="str">
        <f>VLOOKUP(WEEKDAY(Y80),Sheet1!$L$3:$M$9,2,FALSE)</f>
        <v>R</v>
      </c>
      <c r="Z79" s="107" t="str">
        <f>VLOOKUP(WEEKDAY(Z80),Sheet1!$L$3:$M$9,2,FALSE)</f>
        <v>F</v>
      </c>
      <c r="AA79" s="107" t="str">
        <f>VLOOKUP(WEEKDAY(AA80),Sheet1!$L$3:$M$9,2,FALSE)</f>
        <v>S</v>
      </c>
      <c r="AB79" s="107" t="str">
        <f>VLOOKUP(WEEKDAY(AB80),Sheet1!$L$3:$M$9,2,FALSE)</f>
        <v>S</v>
      </c>
      <c r="AC79" s="107" t="str">
        <f>VLOOKUP(WEEKDAY(AC80),Sheet1!$L$3:$M$9,2,FALSE)</f>
        <v>M</v>
      </c>
      <c r="AD79" s="107" t="str">
        <f>VLOOKUP(WEEKDAY(AD80),Sheet1!$L$3:$M$9,2,FALSE)</f>
        <v>T</v>
      </c>
      <c r="AE79" s="107" t="str">
        <f>VLOOKUP(WEEKDAY(AE80),Sheet1!$L$3:$M$9,2,FALSE)</f>
        <v>W</v>
      </c>
      <c r="AF79" s="107" t="str">
        <f>VLOOKUP(WEEKDAY(AF80),Sheet1!$L$3:$M$9,2,FALSE)</f>
        <v>R</v>
      </c>
      <c r="AG79" s="107" t="str">
        <f>VLOOKUP(WEEKDAY(AG80),Sheet1!$L$3:$M$9,2,FALSE)</f>
        <v>F</v>
      </c>
      <c r="AH79" s="107" t="str">
        <f>VLOOKUP(WEEKDAY(AH80),Sheet1!$L$3:$M$9,2,FALSE)</f>
        <v>S</v>
      </c>
      <c r="AI79" s="200" t="s">
        <v>10</v>
      </c>
      <c r="AJ79" s="94"/>
    </row>
    <row r="80" spans="1:36" s="41" customFormat="1" ht="15.75" customHeight="1" x14ac:dyDescent="0.25">
      <c r="A80" s="40"/>
      <c r="B80" s="241"/>
      <c r="C80" s="48"/>
      <c r="D80" s="107">
        <f>DATE(EndCalYear,5,1)</f>
        <v>45778</v>
      </c>
      <c r="E80" s="107">
        <f>DATE(EndCalYear,5,2)</f>
        <v>45779</v>
      </c>
      <c r="F80" s="107">
        <f>DATE(EndCalYear,5,3)</f>
        <v>45780</v>
      </c>
      <c r="G80" s="107">
        <f>DATE(EndCalYear,5,4)</f>
        <v>45781</v>
      </c>
      <c r="H80" s="107">
        <f>DATE(EndCalYear,5,5)</f>
        <v>45782</v>
      </c>
      <c r="I80" s="107">
        <f>DATE(EndCalYear,5,6)</f>
        <v>45783</v>
      </c>
      <c r="J80" s="107">
        <f>DATE(EndCalYear,5,7)</f>
        <v>45784</v>
      </c>
      <c r="K80" s="107">
        <f>DATE(EndCalYear,5,8)</f>
        <v>45785</v>
      </c>
      <c r="L80" s="107">
        <f>DATE(EndCalYear,5,9)</f>
        <v>45786</v>
      </c>
      <c r="M80" s="107">
        <f>DATE(EndCalYear,5,10)</f>
        <v>45787</v>
      </c>
      <c r="N80" s="107">
        <f>DATE(EndCalYear,5,11)</f>
        <v>45788</v>
      </c>
      <c r="O80" s="107">
        <f>DATE(EndCalYear,5,12)</f>
        <v>45789</v>
      </c>
      <c r="P80" s="107">
        <f>DATE(EndCalYear,5,13)</f>
        <v>45790</v>
      </c>
      <c r="Q80" s="107">
        <f>DATE(EndCalYear,5,14)</f>
        <v>45791</v>
      </c>
      <c r="R80" s="107">
        <f>DATE(EndCalYear,5,15)</f>
        <v>45792</v>
      </c>
      <c r="S80" s="107">
        <f>DATE(EndCalYear,5,16)</f>
        <v>45793</v>
      </c>
      <c r="T80" s="107">
        <f>DATE(EndCalYear,5,17)</f>
        <v>45794</v>
      </c>
      <c r="U80" s="107">
        <f>DATE(EndCalYear,5,18)</f>
        <v>45795</v>
      </c>
      <c r="V80" s="107">
        <f>DATE(EndCalYear,5,19)</f>
        <v>45796</v>
      </c>
      <c r="W80" s="107">
        <f>DATE(EndCalYear,5,20)</f>
        <v>45797</v>
      </c>
      <c r="X80" s="107">
        <f>DATE(EndCalYear,5,21)</f>
        <v>45798</v>
      </c>
      <c r="Y80" s="107">
        <f>DATE(EndCalYear,5,22)</f>
        <v>45799</v>
      </c>
      <c r="Z80" s="107">
        <f>DATE(EndCalYear,5,23)</f>
        <v>45800</v>
      </c>
      <c r="AA80" s="107">
        <f>DATE(EndCalYear,5,24)</f>
        <v>45801</v>
      </c>
      <c r="AB80" s="107">
        <f>DATE(EndCalYear,5,25)</f>
        <v>45802</v>
      </c>
      <c r="AC80" s="107">
        <f>DATE(EndCalYear,5,26)</f>
        <v>45803</v>
      </c>
      <c r="AD80" s="107">
        <f>DATE(EndCalYear,5,27)</f>
        <v>45804</v>
      </c>
      <c r="AE80" s="107">
        <f>DATE(EndCalYear,5,28)</f>
        <v>45805</v>
      </c>
      <c r="AF80" s="107">
        <f>DATE(EndCalYear,5,29)</f>
        <v>45806</v>
      </c>
      <c r="AG80" s="107">
        <f>DATE(EndCalYear,5,30)</f>
        <v>45807</v>
      </c>
      <c r="AH80" s="107">
        <f>DATE(EndCalYear,5,31)</f>
        <v>45808</v>
      </c>
      <c r="AI80" s="201"/>
      <c r="AJ80" s="94"/>
    </row>
    <row r="81" spans="1:36" s="41" customFormat="1" ht="18" customHeight="1" x14ac:dyDescent="0.25">
      <c r="A81" s="40"/>
      <c r="B81" s="241"/>
      <c r="C81" s="42" t="s">
        <v>11</v>
      </c>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104">
        <f>SUM(COUNTIF(D81:AH81,"=c")+SUM(COUNTIF(D81:AH81,"=cc")/2)+SUM(D81:AH81))</f>
        <v>0</v>
      </c>
      <c r="AJ81" s="94"/>
    </row>
    <row r="82" spans="1:36" s="41" customFormat="1" ht="18" customHeight="1" x14ac:dyDescent="0.25">
      <c r="A82" s="40"/>
      <c r="B82" s="241"/>
      <c r="C82" s="111" t="s">
        <v>84</v>
      </c>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3">
        <f>SUM(COUNTIF(D82:AH82,"=p")+SUM(COUNTIF(D82:AH82,"=pp")/2))</f>
        <v>0</v>
      </c>
      <c r="AJ82" s="94"/>
    </row>
    <row r="83" spans="1:36" s="41" customFormat="1" ht="18" customHeight="1" x14ac:dyDescent="0.25">
      <c r="A83" s="40"/>
      <c r="B83" s="241"/>
      <c r="C83" s="128" t="s">
        <v>88</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129">
        <f>SUM(COUNTIF(D83:AH83,"=pd")+SUM(COUNTIF(D83:AH83,"=ppdd")/2))</f>
        <v>0</v>
      </c>
      <c r="AJ83" s="94"/>
    </row>
    <row r="84" spans="1:36" s="41" customFormat="1" ht="18" customHeight="1" x14ac:dyDescent="0.25">
      <c r="A84" s="40"/>
      <c r="B84" s="242"/>
      <c r="C84" s="42" t="s">
        <v>13</v>
      </c>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104">
        <f>SUM(COUNTIF(D84:AH84,"=a")+SUM(COUNTIF(D84:AH84,"=aa")/2))</f>
        <v>0</v>
      </c>
      <c r="AJ84" s="94"/>
    </row>
    <row r="85" spans="1:36" s="41" customFormat="1" ht="6.75" customHeight="1" x14ac:dyDescent="0.25">
      <c r="A85" s="40"/>
      <c r="B85" s="169"/>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7"/>
      <c r="AJ85" s="94"/>
    </row>
    <row r="86" spans="1:36" s="41" customFormat="1" ht="15.75" customHeight="1" x14ac:dyDescent="0.25">
      <c r="A86" s="40"/>
      <c r="B86" s="240" t="s">
        <v>472</v>
      </c>
      <c r="C86" s="48"/>
      <c r="D86" s="107" t="str">
        <f>VLOOKUP(WEEKDAY(D87),Sheet1!$L$3:$M$9,2,FALSE)</f>
        <v>S</v>
      </c>
      <c r="E86" s="107" t="str">
        <f>VLOOKUP(WEEKDAY(E87),Sheet1!$L$3:$M$9,2,FALSE)</f>
        <v>M</v>
      </c>
      <c r="F86" s="107" t="str">
        <f>VLOOKUP(WEEKDAY(F87),Sheet1!$L$3:$M$9,2,FALSE)</f>
        <v>T</v>
      </c>
      <c r="G86" s="107" t="str">
        <f>VLOOKUP(WEEKDAY(G87),Sheet1!$L$3:$M$9,2,FALSE)</f>
        <v>W</v>
      </c>
      <c r="H86" s="107" t="str">
        <f>VLOOKUP(WEEKDAY(H87),Sheet1!$L$3:$M$9,2,FALSE)</f>
        <v>R</v>
      </c>
      <c r="I86" s="107" t="str">
        <f>VLOOKUP(WEEKDAY(I87),Sheet1!$L$3:$M$9,2,FALSE)</f>
        <v>F</v>
      </c>
      <c r="J86" s="107" t="str">
        <f>VLOOKUP(WEEKDAY(J87),Sheet1!$L$3:$M$9,2,FALSE)</f>
        <v>S</v>
      </c>
      <c r="K86" s="107" t="str">
        <f>VLOOKUP(WEEKDAY(K87),Sheet1!$L$3:$M$9,2,FALSE)</f>
        <v>S</v>
      </c>
      <c r="L86" s="107" t="str">
        <f>VLOOKUP(WEEKDAY(L87),Sheet1!$L$3:$M$9,2,FALSE)</f>
        <v>M</v>
      </c>
      <c r="M86" s="107" t="str">
        <f>VLOOKUP(WEEKDAY(M87),Sheet1!$L$3:$M$9,2,FALSE)</f>
        <v>T</v>
      </c>
      <c r="N86" s="107" t="str">
        <f>VLOOKUP(WEEKDAY(N87),Sheet1!$L$3:$M$9,2,FALSE)</f>
        <v>W</v>
      </c>
      <c r="O86" s="107" t="str">
        <f>VLOOKUP(WEEKDAY(O87),Sheet1!$L$3:$M$9,2,FALSE)</f>
        <v>R</v>
      </c>
      <c r="P86" s="107" t="str">
        <f>VLOOKUP(WEEKDAY(P87),Sheet1!$L$3:$M$9,2,FALSE)</f>
        <v>F</v>
      </c>
      <c r="Q86" s="107" t="str">
        <f>VLOOKUP(WEEKDAY(Q87),Sheet1!$L$3:$M$9,2,FALSE)</f>
        <v>S</v>
      </c>
      <c r="R86" s="107" t="str">
        <f>VLOOKUP(WEEKDAY(R87),Sheet1!$L$3:$M$9,2,FALSE)</f>
        <v>S</v>
      </c>
      <c r="S86" s="107" t="str">
        <f>VLOOKUP(WEEKDAY(S87),Sheet1!$L$3:$M$9,2,FALSE)</f>
        <v>M</v>
      </c>
      <c r="T86" s="107" t="str">
        <f>VLOOKUP(WEEKDAY(T87),Sheet1!$L$3:$M$9,2,FALSE)</f>
        <v>T</v>
      </c>
      <c r="U86" s="107" t="str">
        <f>VLOOKUP(WEEKDAY(U87),Sheet1!$L$3:$M$9,2,FALSE)</f>
        <v>W</v>
      </c>
      <c r="V86" s="107" t="str">
        <f>VLOOKUP(WEEKDAY(V87),Sheet1!$L$3:$M$9,2,FALSE)</f>
        <v>R</v>
      </c>
      <c r="W86" s="107" t="str">
        <f>VLOOKUP(WEEKDAY(W87),Sheet1!$L$3:$M$9,2,FALSE)</f>
        <v>F</v>
      </c>
      <c r="X86" s="107" t="str">
        <f>VLOOKUP(WEEKDAY(X87),Sheet1!$L$3:$M$9,2,FALSE)</f>
        <v>S</v>
      </c>
      <c r="Y86" s="107" t="str">
        <f>VLOOKUP(WEEKDAY(Y87),Sheet1!$L$3:$M$9,2,FALSE)</f>
        <v>S</v>
      </c>
      <c r="Z86" s="107" t="str">
        <f>VLOOKUP(WEEKDAY(Z87),Sheet1!$L$3:$M$9,2,FALSE)</f>
        <v>M</v>
      </c>
      <c r="AA86" s="107" t="str">
        <f>VLOOKUP(WEEKDAY(AA87),Sheet1!$L$3:$M$9,2,FALSE)</f>
        <v>T</v>
      </c>
      <c r="AB86" s="107" t="str">
        <f>VLOOKUP(WEEKDAY(AB87),Sheet1!$L$3:$M$9,2,FALSE)</f>
        <v>W</v>
      </c>
      <c r="AC86" s="107" t="str">
        <f>VLOOKUP(WEEKDAY(AC87),Sheet1!$L$3:$M$9,2,FALSE)</f>
        <v>R</v>
      </c>
      <c r="AD86" s="107" t="str">
        <f>VLOOKUP(WEEKDAY(AD87),Sheet1!$L$3:$M$9,2,FALSE)</f>
        <v>F</v>
      </c>
      <c r="AE86" s="107" t="str">
        <f>VLOOKUP(WEEKDAY(AE87),Sheet1!$L$3:$M$9,2,FALSE)</f>
        <v>S</v>
      </c>
      <c r="AF86" s="107" t="str">
        <f>VLOOKUP(WEEKDAY(AF87),Sheet1!$L$3:$M$9,2,FALSE)</f>
        <v>S</v>
      </c>
      <c r="AG86" s="107" t="str">
        <f>VLOOKUP(WEEKDAY(AG87),Sheet1!$L$3:$M$9,2,FALSE)</f>
        <v>M</v>
      </c>
      <c r="AH86" s="52"/>
      <c r="AI86" s="200" t="s">
        <v>10</v>
      </c>
      <c r="AJ86" s="94"/>
    </row>
    <row r="87" spans="1:36" s="41" customFormat="1" ht="15.75" customHeight="1" x14ac:dyDescent="0.25">
      <c r="A87" s="40"/>
      <c r="B87" s="241"/>
      <c r="C87" s="48"/>
      <c r="D87" s="107">
        <f>DATE(EndCalYear,6,1)</f>
        <v>45809</v>
      </c>
      <c r="E87" s="107">
        <f>DATE(EndCalYear,6,2)</f>
        <v>45810</v>
      </c>
      <c r="F87" s="107">
        <f>DATE(EndCalYear,6,3)</f>
        <v>45811</v>
      </c>
      <c r="G87" s="107">
        <f>DATE(EndCalYear,6,4)</f>
        <v>45812</v>
      </c>
      <c r="H87" s="107">
        <f>DATE(EndCalYear,6,5)</f>
        <v>45813</v>
      </c>
      <c r="I87" s="107">
        <f>DATE(EndCalYear,6,6)</f>
        <v>45814</v>
      </c>
      <c r="J87" s="107">
        <f>DATE(EndCalYear,6,7)</f>
        <v>45815</v>
      </c>
      <c r="K87" s="107">
        <f>DATE(EndCalYear,6,8)</f>
        <v>45816</v>
      </c>
      <c r="L87" s="107">
        <f>DATE(EndCalYear,6,9)</f>
        <v>45817</v>
      </c>
      <c r="M87" s="107">
        <f>DATE(EndCalYear,6,10)</f>
        <v>45818</v>
      </c>
      <c r="N87" s="107">
        <f>DATE(EndCalYear,6,11)</f>
        <v>45819</v>
      </c>
      <c r="O87" s="107">
        <f>DATE(EndCalYear,6,12)</f>
        <v>45820</v>
      </c>
      <c r="P87" s="107">
        <f>DATE(EndCalYear,6,13)</f>
        <v>45821</v>
      </c>
      <c r="Q87" s="107">
        <f>DATE(EndCalYear,6,14)</f>
        <v>45822</v>
      </c>
      <c r="R87" s="107">
        <f>DATE(EndCalYear,6,15)</f>
        <v>45823</v>
      </c>
      <c r="S87" s="107">
        <f>DATE(EndCalYear,6,16)</f>
        <v>45824</v>
      </c>
      <c r="T87" s="107">
        <f>DATE(EndCalYear,6,17)</f>
        <v>45825</v>
      </c>
      <c r="U87" s="107">
        <f>DATE(EndCalYear,6,18)</f>
        <v>45826</v>
      </c>
      <c r="V87" s="107">
        <f>DATE(EndCalYear,6,19)</f>
        <v>45827</v>
      </c>
      <c r="W87" s="107">
        <f>DATE(EndCalYear,6,20)</f>
        <v>45828</v>
      </c>
      <c r="X87" s="107">
        <f>DATE(EndCalYear,6,21)</f>
        <v>45829</v>
      </c>
      <c r="Y87" s="107">
        <f>DATE(EndCalYear,6,22)</f>
        <v>45830</v>
      </c>
      <c r="Z87" s="107">
        <f>DATE(EndCalYear,6,23)</f>
        <v>45831</v>
      </c>
      <c r="AA87" s="107">
        <f>DATE(EndCalYear,6,24)</f>
        <v>45832</v>
      </c>
      <c r="AB87" s="107">
        <f>DATE(EndCalYear,6,25)</f>
        <v>45833</v>
      </c>
      <c r="AC87" s="107">
        <f>DATE(EndCalYear,6,26)</f>
        <v>45834</v>
      </c>
      <c r="AD87" s="107">
        <f>DATE(EndCalYear,6,27)</f>
        <v>45835</v>
      </c>
      <c r="AE87" s="107">
        <f>DATE(EndCalYear,6,28)</f>
        <v>45836</v>
      </c>
      <c r="AF87" s="107">
        <f>DATE(EndCalYear,6,29)</f>
        <v>45837</v>
      </c>
      <c r="AG87" s="107">
        <f>DATE(EndCalYear,6,30)</f>
        <v>45838</v>
      </c>
      <c r="AH87" s="52"/>
      <c r="AI87" s="201"/>
      <c r="AJ87" s="94"/>
    </row>
    <row r="88" spans="1:36" s="41" customFormat="1" ht="18" customHeight="1" x14ac:dyDescent="0.25">
      <c r="A88" s="40"/>
      <c r="B88" s="241"/>
      <c r="C88" s="42" t="s">
        <v>11</v>
      </c>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52"/>
      <c r="AI88" s="104">
        <f>SUM(COUNTIF(D88:AH88,"=c")+SUM(COUNTIF(D88:AH88,"=cc")/2)+SUM(D88:AH88))</f>
        <v>0</v>
      </c>
      <c r="AJ88" s="94"/>
    </row>
    <row r="89" spans="1:36" s="41" customFormat="1" ht="18" customHeight="1" x14ac:dyDescent="0.25">
      <c r="A89" s="40"/>
      <c r="B89" s="241"/>
      <c r="C89" s="111" t="s">
        <v>84</v>
      </c>
      <c r="D89" s="112"/>
      <c r="E89" s="112"/>
      <c r="F89" s="112"/>
      <c r="G89" s="112"/>
      <c r="H89" s="121"/>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6"/>
      <c r="AI89" s="113">
        <f>SUM(COUNTIF(D89:AH89,"=p")+SUM(COUNTIF(D89:AH89,"=pp")/2))</f>
        <v>0</v>
      </c>
      <c r="AJ89" s="94"/>
    </row>
    <row r="90" spans="1:36" s="41" customFormat="1" ht="18" customHeight="1" x14ac:dyDescent="0.25">
      <c r="A90" s="40"/>
      <c r="B90" s="241"/>
      <c r="C90" s="128" t="s">
        <v>88</v>
      </c>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52"/>
      <c r="AI90" s="129">
        <f>SUM(COUNTIF(D90:AH90,"=pd")+SUM(COUNTIF(D90:AH90,"=ppdd")/2))</f>
        <v>0</v>
      </c>
      <c r="AJ90" s="94"/>
    </row>
    <row r="91" spans="1:36" s="41" customFormat="1" ht="18" customHeight="1" x14ac:dyDescent="0.25">
      <c r="A91" s="40"/>
      <c r="B91" s="242"/>
      <c r="C91" s="42" t="s">
        <v>13</v>
      </c>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52"/>
      <c r="AI91" s="104">
        <f>SUM(COUNTIF(D91:AH91,"=a")+SUM(COUNTIF(D91:AH91,"=aa")/2))</f>
        <v>0</v>
      </c>
      <c r="AJ91" s="94"/>
    </row>
    <row r="92" spans="1:36" s="41" customFormat="1" ht="6.75" customHeight="1" x14ac:dyDescent="0.25">
      <c r="A92" s="40"/>
      <c r="B92" s="169"/>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7"/>
      <c r="AJ92" s="94"/>
    </row>
    <row r="93" spans="1:36" s="41" customFormat="1" ht="15.75" customHeight="1" x14ac:dyDescent="0.25">
      <c r="A93" s="40"/>
      <c r="B93" s="240" t="s">
        <v>473</v>
      </c>
      <c r="C93" s="48"/>
      <c r="D93" s="107" t="str">
        <f>VLOOKUP(WEEKDAY(D94),Sheet1!$L$3:$M$9,2,FALSE)</f>
        <v>T</v>
      </c>
      <c r="E93" s="107" t="str">
        <f>VLOOKUP(WEEKDAY(E94),Sheet1!$L$3:$M$9,2,FALSE)</f>
        <v>W</v>
      </c>
      <c r="F93" s="107" t="str">
        <f>VLOOKUP(WEEKDAY(F94),Sheet1!$L$3:$M$9,2,FALSE)</f>
        <v>R</v>
      </c>
      <c r="G93" s="107" t="str">
        <f>VLOOKUP(WEEKDAY(G94),Sheet1!$L$3:$M$9,2,FALSE)</f>
        <v>F</v>
      </c>
      <c r="H93" s="107" t="str">
        <f>VLOOKUP(WEEKDAY(H94),Sheet1!$L$3:$M$9,2,FALSE)</f>
        <v>S</v>
      </c>
      <c r="I93" s="107" t="str">
        <f>VLOOKUP(WEEKDAY(I94),Sheet1!$L$3:$M$9,2,FALSE)</f>
        <v>S</v>
      </c>
      <c r="J93" s="107" t="str">
        <f>VLOOKUP(WEEKDAY(J94),Sheet1!$L$3:$M$9,2,FALSE)</f>
        <v>M</v>
      </c>
      <c r="K93" s="107" t="str">
        <f>VLOOKUP(WEEKDAY(K94),Sheet1!$L$3:$M$9,2,FALSE)</f>
        <v>T</v>
      </c>
      <c r="L93" s="107" t="str">
        <f>VLOOKUP(WEEKDAY(L94),Sheet1!$L$3:$M$9,2,FALSE)</f>
        <v>W</v>
      </c>
      <c r="M93" s="107" t="str">
        <f>VLOOKUP(WEEKDAY(M94),Sheet1!$L$3:$M$9,2,FALSE)</f>
        <v>R</v>
      </c>
      <c r="N93" s="107" t="str">
        <f>VLOOKUP(WEEKDAY(N94),Sheet1!$L$3:$M$9,2,FALSE)</f>
        <v>F</v>
      </c>
      <c r="O93" s="107" t="str">
        <f>VLOOKUP(WEEKDAY(O94),Sheet1!$L$3:$M$9,2,FALSE)</f>
        <v>S</v>
      </c>
      <c r="P93" s="107" t="str">
        <f>VLOOKUP(WEEKDAY(P94),Sheet1!$L$3:$M$9,2,FALSE)</f>
        <v>S</v>
      </c>
      <c r="Q93" s="107" t="str">
        <f>VLOOKUP(WEEKDAY(Q94),Sheet1!$L$3:$M$9,2,FALSE)</f>
        <v>M</v>
      </c>
      <c r="R93" s="107" t="str">
        <f>VLOOKUP(WEEKDAY(R94),Sheet1!$L$3:$M$9,2,FALSE)</f>
        <v>T</v>
      </c>
      <c r="S93" s="107" t="str">
        <f>VLOOKUP(WEEKDAY(S94),Sheet1!$L$3:$M$9,2,FALSE)</f>
        <v>W</v>
      </c>
      <c r="T93" s="107" t="str">
        <f>VLOOKUP(WEEKDAY(T94),Sheet1!$L$3:$M$9,2,FALSE)</f>
        <v>R</v>
      </c>
      <c r="U93" s="107" t="str">
        <f>VLOOKUP(WEEKDAY(U94),Sheet1!$L$3:$M$9,2,FALSE)</f>
        <v>F</v>
      </c>
      <c r="V93" s="107" t="str">
        <f>VLOOKUP(WEEKDAY(V94),Sheet1!$L$3:$M$9,2,FALSE)</f>
        <v>S</v>
      </c>
      <c r="W93" s="107" t="str">
        <f>VLOOKUP(WEEKDAY(W94),Sheet1!$L$3:$M$9,2,FALSE)</f>
        <v>S</v>
      </c>
      <c r="X93" s="107" t="str">
        <f>VLOOKUP(WEEKDAY(X94),Sheet1!$L$3:$M$9,2,FALSE)</f>
        <v>M</v>
      </c>
      <c r="Y93" s="107" t="str">
        <f>VLOOKUP(WEEKDAY(Y94),Sheet1!$L$3:$M$9,2,FALSE)</f>
        <v>T</v>
      </c>
      <c r="Z93" s="107" t="str">
        <f>VLOOKUP(WEEKDAY(Z94),Sheet1!$L$3:$M$9,2,FALSE)</f>
        <v>W</v>
      </c>
      <c r="AA93" s="107" t="str">
        <f>VLOOKUP(WEEKDAY(AA94),Sheet1!$L$3:$M$9,2,FALSE)</f>
        <v>R</v>
      </c>
      <c r="AB93" s="107" t="str">
        <f>VLOOKUP(WEEKDAY(AB94),Sheet1!$L$3:$M$9,2,FALSE)</f>
        <v>F</v>
      </c>
      <c r="AC93" s="107" t="str">
        <f>VLOOKUP(WEEKDAY(AC94),Sheet1!$L$3:$M$9,2,FALSE)</f>
        <v>S</v>
      </c>
      <c r="AD93" s="107" t="str">
        <f>VLOOKUP(WEEKDAY(AD94),Sheet1!$L$3:$M$9,2,FALSE)</f>
        <v>S</v>
      </c>
      <c r="AE93" s="107" t="str">
        <f>VLOOKUP(WEEKDAY(AE94),Sheet1!$L$3:$M$9,2,FALSE)</f>
        <v>M</v>
      </c>
      <c r="AF93" s="107" t="str">
        <f>VLOOKUP(WEEKDAY(AF94),Sheet1!$L$3:$M$9,2,FALSE)</f>
        <v>T</v>
      </c>
      <c r="AG93" s="107" t="str">
        <f>VLOOKUP(WEEKDAY(AG94),Sheet1!$L$3:$M$9,2,FALSE)</f>
        <v>W</v>
      </c>
      <c r="AH93" s="110" t="str">
        <f>VLOOKUP(WEEKDAY(AH94),Sheet1!$L$3:$M$9,2,FALSE)</f>
        <v>R</v>
      </c>
      <c r="AI93" s="200" t="s">
        <v>10</v>
      </c>
      <c r="AJ93" s="94"/>
    </row>
    <row r="94" spans="1:36" s="41" customFormat="1" ht="15.75" customHeight="1" x14ac:dyDescent="0.25">
      <c r="A94" s="40"/>
      <c r="B94" s="241"/>
      <c r="C94" s="48"/>
      <c r="D94" s="107">
        <f>DATE(EndCalYear,7,1)</f>
        <v>45839</v>
      </c>
      <c r="E94" s="107">
        <f>DATE(EndCalYear,7,2)</f>
        <v>45840</v>
      </c>
      <c r="F94" s="107">
        <f>DATE(EndCalYear,7,3)</f>
        <v>45841</v>
      </c>
      <c r="G94" s="107">
        <f>DATE(EndCalYear,7,4)</f>
        <v>45842</v>
      </c>
      <c r="H94" s="107">
        <f>DATE(EndCalYear,7,5)</f>
        <v>45843</v>
      </c>
      <c r="I94" s="107">
        <f>DATE(EndCalYear,7,6)</f>
        <v>45844</v>
      </c>
      <c r="J94" s="107">
        <f>DATE(EndCalYear,7,7)</f>
        <v>45845</v>
      </c>
      <c r="K94" s="107">
        <f>DATE(EndCalYear,7,8)</f>
        <v>45846</v>
      </c>
      <c r="L94" s="107">
        <f>DATE(EndCalYear,7,9)</f>
        <v>45847</v>
      </c>
      <c r="M94" s="107">
        <f>DATE(EndCalYear,7,10)</f>
        <v>45848</v>
      </c>
      <c r="N94" s="107">
        <f>DATE(EndCalYear,7,11)</f>
        <v>45849</v>
      </c>
      <c r="O94" s="107">
        <f>DATE(EndCalYear,7,12)</f>
        <v>45850</v>
      </c>
      <c r="P94" s="107">
        <f>DATE(EndCalYear,7,13)</f>
        <v>45851</v>
      </c>
      <c r="Q94" s="107">
        <f>DATE(EndCalYear,7,14)</f>
        <v>45852</v>
      </c>
      <c r="R94" s="107">
        <f>DATE(EndCalYear,7,15)</f>
        <v>45853</v>
      </c>
      <c r="S94" s="107">
        <f>DATE(EndCalYear,7,16)</f>
        <v>45854</v>
      </c>
      <c r="T94" s="107">
        <f>DATE(EndCalYear,7,17)</f>
        <v>45855</v>
      </c>
      <c r="U94" s="107">
        <f>DATE(EndCalYear,7,18)</f>
        <v>45856</v>
      </c>
      <c r="V94" s="107">
        <f>DATE(EndCalYear,7,19)</f>
        <v>45857</v>
      </c>
      <c r="W94" s="107">
        <f>DATE(EndCalYear,7,20)</f>
        <v>45858</v>
      </c>
      <c r="X94" s="107">
        <f>DATE(EndCalYear,7,21)</f>
        <v>45859</v>
      </c>
      <c r="Y94" s="107">
        <f>DATE(EndCalYear,7,22)</f>
        <v>45860</v>
      </c>
      <c r="Z94" s="107">
        <f>DATE(EndCalYear,7,23)</f>
        <v>45861</v>
      </c>
      <c r="AA94" s="107">
        <f>DATE(EndCalYear,7,24)</f>
        <v>45862</v>
      </c>
      <c r="AB94" s="107">
        <f>DATE(EndCalYear,7,25)</f>
        <v>45863</v>
      </c>
      <c r="AC94" s="107">
        <f>DATE(EndCalYear,7,26)</f>
        <v>45864</v>
      </c>
      <c r="AD94" s="107">
        <f>DATE(EndCalYear,7,27)</f>
        <v>45865</v>
      </c>
      <c r="AE94" s="107">
        <f>DATE(EndCalYear,7,28)</f>
        <v>45866</v>
      </c>
      <c r="AF94" s="107">
        <f>DATE(EndCalYear,7,29)</f>
        <v>45867</v>
      </c>
      <c r="AG94" s="107">
        <f>DATE(EndCalYear,7,30)</f>
        <v>45868</v>
      </c>
      <c r="AH94" s="110">
        <f>DATE(EndCalYear,7,31)</f>
        <v>45869</v>
      </c>
      <c r="AI94" s="201"/>
      <c r="AJ94" s="94"/>
    </row>
    <row r="95" spans="1:36" s="41" customFormat="1" ht="18" customHeight="1" x14ac:dyDescent="0.25">
      <c r="A95" s="40"/>
      <c r="B95" s="241"/>
      <c r="C95" s="42" t="s">
        <v>11</v>
      </c>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104">
        <f>SUM(COUNTIF(D95:AH95,"=c")+SUM(COUNTIF(D95:AH95,"=cc")/2)+SUM(D95:AH95))</f>
        <v>0</v>
      </c>
      <c r="AJ95" s="94"/>
    </row>
    <row r="96" spans="1:36" s="41" customFormat="1" ht="18" customHeight="1" x14ac:dyDescent="0.25">
      <c r="A96" s="40"/>
      <c r="B96" s="241"/>
      <c r="C96" s="111" t="s">
        <v>84</v>
      </c>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3">
        <f>SUM(COUNTIF(D96:AH96,"=p")+SUM(COUNTIF(D96:AH96,"=pp")/2))</f>
        <v>0</v>
      </c>
      <c r="AJ96" s="94"/>
    </row>
    <row r="97" spans="1:36" s="41" customFormat="1" ht="18" customHeight="1" x14ac:dyDescent="0.25">
      <c r="A97" s="40"/>
      <c r="B97" s="241"/>
      <c r="C97" s="128" t="s">
        <v>88</v>
      </c>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129">
        <f>SUM(COUNTIF(D97:AH97,"=pd")+SUM(COUNTIF(D97:AH97,"=ppdd")/2))</f>
        <v>0</v>
      </c>
      <c r="AJ97" s="94"/>
    </row>
    <row r="98" spans="1:36" s="41" customFormat="1" ht="18" customHeight="1" x14ac:dyDescent="0.25">
      <c r="A98" s="40"/>
      <c r="B98" s="242"/>
      <c r="C98" s="42" t="s">
        <v>13</v>
      </c>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104">
        <f>SUM(COUNTIF(D98:AH98,"=a")+SUM(COUNTIF(D98:AH98,"=aa")/2))</f>
        <v>0</v>
      </c>
      <c r="AJ98" s="94"/>
    </row>
    <row r="99" spans="1:36" x14ac:dyDescent="0.25">
      <c r="A99" s="28"/>
      <c r="B99" s="170"/>
      <c r="C99" s="22"/>
      <c r="D99" s="22"/>
      <c r="E99" s="22"/>
      <c r="F99" s="22"/>
      <c r="G99" s="22"/>
      <c r="H99" s="22"/>
      <c r="I99" s="22"/>
      <c r="J99" s="22"/>
      <c r="K99" s="22"/>
      <c r="L99" s="22"/>
      <c r="M99" s="22"/>
      <c r="N99" s="22"/>
      <c r="O99" s="22"/>
      <c r="P99" s="22"/>
      <c r="Q99" s="22"/>
      <c r="R99" s="22"/>
      <c r="S99" s="22"/>
      <c r="T99" s="22"/>
      <c r="U99" s="22"/>
      <c r="V99" s="22"/>
      <c r="W99" s="22"/>
      <c r="X99" s="22"/>
      <c r="Y99" s="22"/>
      <c r="Z99" s="22"/>
      <c r="AA99" s="14"/>
      <c r="AB99" s="14"/>
      <c r="AC99" s="22"/>
      <c r="AD99" s="22"/>
      <c r="AE99" s="22"/>
      <c r="AF99" s="22"/>
      <c r="AG99" s="22"/>
      <c r="AH99" s="22"/>
      <c r="AI99" s="23"/>
    </row>
    <row r="100" spans="1:36" ht="16.5" customHeight="1" x14ac:dyDescent="0.25">
      <c r="A100" s="28"/>
      <c r="B100" s="86" t="s">
        <v>14</v>
      </c>
      <c r="C100" s="54"/>
      <c r="D100" s="55"/>
      <c r="E100" s="54"/>
      <c r="F100" s="55"/>
      <c r="G100" s="54"/>
      <c r="H100" s="54"/>
      <c r="I100" s="54"/>
      <c r="J100" s="54"/>
      <c r="K100" s="54"/>
      <c r="L100" s="53" t="s">
        <v>15</v>
      </c>
      <c r="M100" s="55"/>
      <c r="N100" s="55"/>
      <c r="O100" s="55"/>
      <c r="P100" s="55"/>
      <c r="Q100" s="56"/>
      <c r="R100" s="55"/>
      <c r="S100" s="55"/>
      <c r="T100" s="55"/>
      <c r="U100" s="55"/>
      <c r="V100" s="55"/>
      <c r="W100" s="55"/>
      <c r="X100" s="58" t="s">
        <v>16</v>
      </c>
      <c r="Y100" s="37"/>
      <c r="Z100" s="55"/>
      <c r="AA100" s="37"/>
      <c r="AB100" s="37"/>
      <c r="AC100" s="59"/>
      <c r="AD100" s="58" t="s">
        <v>17</v>
      </c>
      <c r="AE100" s="37"/>
      <c r="AF100" s="55"/>
      <c r="AG100" s="55"/>
      <c r="AH100" s="55"/>
      <c r="AI100" s="38"/>
    </row>
    <row r="101" spans="1:36" ht="16.5" customHeight="1" x14ac:dyDescent="0.25">
      <c r="A101" s="28"/>
      <c r="B101" s="88" t="s">
        <v>18</v>
      </c>
      <c r="C101" s="60"/>
      <c r="D101" s="60"/>
      <c r="E101" s="60"/>
      <c r="F101" s="60"/>
      <c r="G101" s="57"/>
      <c r="H101" s="57"/>
      <c r="I101" s="57"/>
      <c r="J101" s="57"/>
      <c r="K101" s="57"/>
      <c r="L101" s="61">
        <v>1</v>
      </c>
      <c r="M101" s="209"/>
      <c r="N101" s="209"/>
      <c r="O101" s="62" t="s">
        <v>19</v>
      </c>
      <c r="P101" s="62" t="s">
        <v>20</v>
      </c>
      <c r="Q101" s="57"/>
      <c r="R101" s="57"/>
      <c r="S101" s="57"/>
      <c r="T101" s="57"/>
      <c r="U101" s="57"/>
      <c r="V101" s="57"/>
      <c r="W101" s="63"/>
      <c r="X101" s="207" t="e">
        <f>IF(HLOOKUP(O5,Sheet1!Q1:T2,2,FALSE)=179,169,IF(HLOOKUP(O5,Sheet1!Q1:T2,2,FALSE)=187,178,IF(AA5=0,198,AA5-7)))</f>
        <v>#N/A</v>
      </c>
      <c r="Y101" s="208"/>
      <c r="Z101" s="57" t="s">
        <v>21</v>
      </c>
      <c r="AA101" s="64"/>
      <c r="AB101" s="64"/>
      <c r="AC101" s="65"/>
      <c r="AD101" s="210">
        <f>SUM(AI11,AI18,AI25,AI32,AI39,AI46,AI53,AI60,AI67,AI74,AI81,AI88,AI95)</f>
        <v>0</v>
      </c>
      <c r="AE101" s="211"/>
      <c r="AF101" s="199" t="s">
        <v>418</v>
      </c>
      <c r="AG101" s="199"/>
      <c r="AH101" s="199"/>
      <c r="AI101" s="199"/>
    </row>
    <row r="102" spans="1:36" ht="16.5" customHeight="1" x14ac:dyDescent="0.25">
      <c r="A102" s="28"/>
      <c r="B102" s="216" t="s">
        <v>74</v>
      </c>
      <c r="C102" s="216"/>
      <c r="D102" s="216"/>
      <c r="E102" s="216"/>
      <c r="F102" s="216"/>
      <c r="G102" s="216"/>
      <c r="H102" s="216"/>
      <c r="I102" s="216"/>
      <c r="J102" s="216"/>
      <c r="K102" s="57"/>
      <c r="L102" s="61">
        <v>2</v>
      </c>
      <c r="M102" s="213"/>
      <c r="N102" s="213"/>
      <c r="O102" s="62" t="s">
        <v>19</v>
      </c>
      <c r="P102" s="62" t="s">
        <v>20</v>
      </c>
      <c r="Q102" s="67"/>
      <c r="R102" s="119"/>
      <c r="S102" s="119"/>
      <c r="T102" s="119"/>
      <c r="U102" s="119"/>
      <c r="V102" s="119"/>
      <c r="W102" s="63"/>
      <c r="X102" s="207">
        <v>2</v>
      </c>
      <c r="Y102" s="208"/>
      <c r="Z102" s="57" t="s">
        <v>22</v>
      </c>
      <c r="AA102" s="64"/>
      <c r="AB102" s="64"/>
      <c r="AC102" s="65"/>
      <c r="AD102" s="210">
        <f>SUM(AI12,AI19,AI26,AI33,AI40,AI54,AI61,AI68,AI75,AI82,AI89,AI96,AI47)</f>
        <v>0</v>
      </c>
      <c r="AE102" s="212"/>
      <c r="AF102" s="199" t="s">
        <v>102</v>
      </c>
      <c r="AG102" s="199"/>
      <c r="AH102" s="199"/>
      <c r="AI102" s="199"/>
    </row>
    <row r="103" spans="1:36" ht="16.5" customHeight="1" x14ac:dyDescent="0.25">
      <c r="A103" s="28"/>
      <c r="B103" s="214" t="s">
        <v>85</v>
      </c>
      <c r="C103" s="214"/>
      <c r="D103" s="214"/>
      <c r="E103" s="214"/>
      <c r="F103" s="214"/>
      <c r="G103" s="214"/>
      <c r="H103" s="214"/>
      <c r="I103" s="214"/>
      <c r="J103" s="214"/>
      <c r="K103" s="57"/>
      <c r="L103" s="61">
        <v>3</v>
      </c>
      <c r="M103" s="213"/>
      <c r="N103" s="213"/>
      <c r="O103" s="62" t="s">
        <v>19</v>
      </c>
      <c r="P103" s="62" t="s">
        <v>20</v>
      </c>
      <c r="Q103" s="67"/>
      <c r="R103" s="119"/>
      <c r="S103" s="119"/>
      <c r="T103" s="119"/>
      <c r="U103" s="119"/>
      <c r="V103" s="119"/>
      <c r="W103" s="63"/>
      <c r="X103" s="207">
        <v>5</v>
      </c>
      <c r="Y103" s="208"/>
      <c r="Z103" s="57" t="s">
        <v>23</v>
      </c>
      <c r="AA103" s="64"/>
      <c r="AB103" s="64"/>
      <c r="AC103" s="65"/>
      <c r="AD103" s="217">
        <f>AI13+AI20+AI27+AI34+AI41+AI48+AI55+AI62+AI69+AI76+AI83+AI90+AI97</f>
        <v>0</v>
      </c>
      <c r="AE103" s="218"/>
      <c r="AF103" s="57" t="s">
        <v>101</v>
      </c>
      <c r="AG103" s="57"/>
      <c r="AH103" s="57"/>
      <c r="AI103" s="66"/>
    </row>
    <row r="104" spans="1:36" ht="16.5" customHeight="1" x14ac:dyDescent="0.25">
      <c r="A104" s="28"/>
      <c r="B104" s="215" t="s">
        <v>416</v>
      </c>
      <c r="C104" s="215"/>
      <c r="D104" s="215"/>
      <c r="E104" s="215"/>
      <c r="F104" s="215"/>
      <c r="G104" s="215"/>
      <c r="H104" s="215"/>
      <c r="I104" s="57"/>
      <c r="J104" s="57"/>
      <c r="K104" s="57"/>
      <c r="L104" s="61">
        <v>4</v>
      </c>
      <c r="M104" s="213"/>
      <c r="N104" s="213"/>
      <c r="O104" s="62" t="s">
        <v>19</v>
      </c>
      <c r="P104" s="62" t="s">
        <v>20</v>
      </c>
      <c r="Q104" s="67"/>
      <c r="R104" s="119"/>
      <c r="S104" s="119"/>
      <c r="T104" s="119"/>
      <c r="U104" s="119"/>
      <c r="V104" s="119"/>
      <c r="W104" s="63"/>
      <c r="X104" s="207">
        <f>IF(O5=177,2,1)</f>
        <v>1</v>
      </c>
      <c r="Y104" s="208"/>
      <c r="Z104" s="215" t="s">
        <v>24</v>
      </c>
      <c r="AA104" s="215"/>
      <c r="AB104" s="215"/>
      <c r="AC104" s="65"/>
      <c r="AD104" s="225">
        <f>SUM(AI14+AI21+AI28+AI35+AI42+AI49+AI56+AI63+AI70+AI77+AI84+AI91+AI98)</f>
        <v>0</v>
      </c>
      <c r="AE104" s="226"/>
      <c r="AF104" s="57" t="s">
        <v>25</v>
      </c>
      <c r="AG104" s="57"/>
      <c r="AH104" s="57"/>
      <c r="AI104" s="66"/>
    </row>
    <row r="105" spans="1:36" ht="16.5" customHeight="1" thickBot="1" x14ac:dyDescent="0.3">
      <c r="A105" s="28"/>
      <c r="B105" s="216" t="s">
        <v>72</v>
      </c>
      <c r="C105" s="216"/>
      <c r="D105" s="216"/>
      <c r="E105" s="216"/>
      <c r="F105" s="216"/>
      <c r="G105" s="216"/>
      <c r="H105" s="216"/>
      <c r="I105" s="57"/>
      <c r="J105" s="57"/>
      <c r="K105" s="57"/>
      <c r="L105" s="68">
        <v>5</v>
      </c>
      <c r="M105" s="219"/>
      <c r="N105" s="219"/>
      <c r="O105" s="69" t="s">
        <v>26</v>
      </c>
      <c r="P105" s="70" t="s">
        <v>27</v>
      </c>
      <c r="Q105" s="71"/>
      <c r="R105" s="220"/>
      <c r="S105" s="220"/>
      <c r="T105" s="60"/>
      <c r="U105" s="57"/>
      <c r="V105" s="60"/>
      <c r="W105" s="60"/>
      <c r="X105" s="221">
        <v>1</v>
      </c>
      <c r="Y105" s="222"/>
      <c r="Z105" s="57" t="s">
        <v>28</v>
      </c>
      <c r="AA105" s="64"/>
      <c r="AB105" s="64"/>
      <c r="AC105" s="65"/>
      <c r="AD105" s="223">
        <f>SUM(AD101+AD103+(AD102*0.5))</f>
        <v>0</v>
      </c>
      <c r="AE105" s="224"/>
      <c r="AF105" s="216" t="s">
        <v>419</v>
      </c>
      <c r="AG105" s="216"/>
      <c r="AH105" s="216"/>
      <c r="AI105" s="216"/>
    </row>
    <row r="106" spans="1:36" ht="16.5" customHeight="1" thickBot="1" x14ac:dyDescent="0.3">
      <c r="A106" s="28"/>
      <c r="B106" s="216" t="s">
        <v>73</v>
      </c>
      <c r="C106" s="216"/>
      <c r="D106" s="216"/>
      <c r="E106" s="216"/>
      <c r="F106" s="216"/>
      <c r="G106" s="216"/>
      <c r="H106" s="216"/>
      <c r="I106" s="57"/>
      <c r="J106" s="57"/>
      <c r="K106" s="57"/>
      <c r="L106" s="68">
        <v>6</v>
      </c>
      <c r="M106" s="219"/>
      <c r="N106" s="219"/>
      <c r="O106" s="69" t="s">
        <v>26</v>
      </c>
      <c r="P106" s="70" t="s">
        <v>27</v>
      </c>
      <c r="Q106" s="69"/>
      <c r="R106" s="60"/>
      <c r="S106" s="60"/>
      <c r="T106" s="60"/>
      <c r="U106" s="57"/>
      <c r="V106" s="72"/>
      <c r="W106" s="108" t="e">
        <f>IF(AA5=0,HLOOKUP(O5,Sheet1!Q1:T2,2,FALSE),AA5)</f>
        <v>#N/A</v>
      </c>
      <c r="X106" s="257" t="e">
        <f>ROUND(W106,0)</f>
        <v>#N/A</v>
      </c>
      <c r="Y106" s="258"/>
      <c r="Z106" s="73" t="s">
        <v>29</v>
      </c>
      <c r="AA106" s="64"/>
      <c r="AB106" s="74"/>
      <c r="AC106" s="60"/>
      <c r="AD106" s="259">
        <f>ROUNDUP(SUM(AD101,AD103,(AD102*0.5)),1)</f>
        <v>0</v>
      </c>
      <c r="AE106" s="260"/>
      <c r="AF106" s="164" t="e">
        <f>IF(($AD$106=AD5),CHAR(252),"")</f>
        <v>#DIV/0!</v>
      </c>
      <c r="AG106" s="165" t="e">
        <f>IF(($AD$106=AD5),"",CONCATENATE("Error!! Off by"," ",SUM(AD106-AD5)," ","contract days"))</f>
        <v>#DIV/0!</v>
      </c>
      <c r="AH106" s="57"/>
      <c r="AI106" s="66"/>
    </row>
    <row r="107" spans="1:36" ht="16.5" customHeight="1" x14ac:dyDescent="0.25">
      <c r="A107" s="28"/>
      <c r="B107" s="109"/>
      <c r="C107" s="122" t="s">
        <v>83</v>
      </c>
      <c r="D107" s="77"/>
      <c r="E107" s="118"/>
      <c r="F107" s="118"/>
      <c r="G107" s="118"/>
      <c r="H107" s="118"/>
      <c r="I107" s="57"/>
      <c r="J107" s="57"/>
      <c r="K107" s="57"/>
      <c r="L107" s="68">
        <v>7</v>
      </c>
      <c r="M107" s="219"/>
      <c r="N107" s="219"/>
      <c r="O107" s="69" t="s">
        <v>26</v>
      </c>
      <c r="P107" s="70" t="s">
        <v>27</v>
      </c>
      <c r="Q107" s="69"/>
      <c r="R107" s="60"/>
      <c r="S107" s="56"/>
      <c r="T107" s="60"/>
      <c r="U107" s="57"/>
      <c r="V107" s="57"/>
      <c r="W107" s="75"/>
      <c r="X107" s="75"/>
      <c r="Y107" s="73"/>
      <c r="Z107" s="73"/>
      <c r="AA107" s="64"/>
      <c r="AB107" s="64"/>
      <c r="AC107" s="57"/>
      <c r="AD107" s="266" t="s">
        <v>86</v>
      </c>
      <c r="AE107" s="266"/>
      <c r="AF107" s="266"/>
      <c r="AG107" s="266"/>
      <c r="AH107" s="266"/>
      <c r="AI107" s="266"/>
    </row>
    <row r="108" spans="1:36" ht="16.5" customHeight="1" thickBot="1" x14ac:dyDescent="0.3">
      <c r="A108" s="28"/>
      <c r="B108" s="171"/>
      <c r="C108" s="28" t="s">
        <v>87</v>
      </c>
      <c r="D108" s="28"/>
      <c r="E108" s="118"/>
      <c r="F108" s="118"/>
      <c r="G108" s="118"/>
      <c r="H108" s="118"/>
      <c r="I108" s="57"/>
      <c r="J108" s="57"/>
      <c r="K108" s="57"/>
      <c r="L108" s="71" t="s">
        <v>42</v>
      </c>
      <c r="M108" s="219"/>
      <c r="N108" s="219"/>
      <c r="O108" s="69" t="s">
        <v>26</v>
      </c>
      <c r="P108" s="70" t="s">
        <v>27</v>
      </c>
      <c r="Q108" s="69"/>
      <c r="R108" s="60"/>
      <c r="S108" s="56"/>
      <c r="T108" s="60"/>
      <c r="U108" s="57"/>
      <c r="V108" s="57"/>
      <c r="W108" s="75"/>
      <c r="X108" s="75"/>
      <c r="Y108" s="73"/>
      <c r="Z108" s="73"/>
      <c r="AA108" s="64"/>
      <c r="AB108" s="64"/>
      <c r="AC108" s="57"/>
      <c r="AD108" s="267"/>
      <c r="AE108" s="267"/>
      <c r="AF108" s="267"/>
      <c r="AG108" s="267"/>
      <c r="AH108" s="267"/>
      <c r="AI108" s="267"/>
    </row>
    <row r="109" spans="1:36" ht="16.5" customHeight="1" thickBot="1" x14ac:dyDescent="0.3">
      <c r="A109" s="28"/>
      <c r="B109" s="132"/>
      <c r="C109" s="57" t="s">
        <v>412</v>
      </c>
      <c r="D109" s="77"/>
      <c r="E109" s="77"/>
      <c r="F109" s="77"/>
      <c r="G109" s="77"/>
      <c r="H109" s="77"/>
      <c r="I109" s="77"/>
      <c r="J109" s="78"/>
      <c r="K109" s="78"/>
      <c r="L109" s="262" t="s">
        <v>71</v>
      </c>
      <c r="M109" s="262"/>
      <c r="N109" s="262"/>
      <c r="O109" s="262"/>
      <c r="P109" s="262"/>
      <c r="Q109" s="262"/>
      <c r="R109" s="262"/>
      <c r="S109" s="262"/>
      <c r="T109" s="262"/>
      <c r="U109" s="262"/>
      <c r="V109" s="262"/>
      <c r="W109" s="262"/>
      <c r="X109" s="262"/>
      <c r="Y109" s="262"/>
      <c r="Z109" s="79"/>
      <c r="AA109" s="263" t="s">
        <v>89</v>
      </c>
      <c r="AB109" s="264"/>
      <c r="AC109" s="264"/>
      <c r="AD109" s="264"/>
      <c r="AE109" s="264"/>
      <c r="AF109" s="264"/>
      <c r="AG109" s="264"/>
      <c r="AH109" s="264"/>
      <c r="AI109" s="265"/>
    </row>
    <row r="110" spans="1:36" ht="17.25" customHeight="1" x14ac:dyDescent="0.25">
      <c r="A110" s="28"/>
      <c r="B110" s="133"/>
      <c r="C110" s="57" t="s">
        <v>413</v>
      </c>
      <c r="D110" s="77"/>
      <c r="E110" s="77"/>
      <c r="F110" s="77"/>
      <c r="G110" s="77"/>
      <c r="H110" s="77"/>
      <c r="I110" s="77"/>
      <c r="J110" s="78"/>
      <c r="K110" s="78"/>
      <c r="L110" s="261" t="s">
        <v>70</v>
      </c>
      <c r="M110" s="261"/>
      <c r="N110" s="261"/>
      <c r="O110" s="261"/>
      <c r="P110" s="261"/>
      <c r="Q110" s="261"/>
      <c r="R110" s="261"/>
      <c r="S110" s="261"/>
      <c r="T110" s="261"/>
      <c r="U110" s="261"/>
      <c r="V110" s="261"/>
      <c r="W110" s="261"/>
      <c r="X110" s="261"/>
      <c r="Y110" s="261"/>
      <c r="Z110" s="79"/>
      <c r="AA110" s="101">
        <v>8</v>
      </c>
      <c r="AB110" s="102" t="s">
        <v>67</v>
      </c>
      <c r="AC110" s="103" t="e">
        <f>(AA110/8)/$R$5</f>
        <v>#DIV/0!</v>
      </c>
      <c r="AD110" s="101">
        <v>5</v>
      </c>
      <c r="AE110" s="102" t="s">
        <v>67</v>
      </c>
      <c r="AF110" s="103" t="e">
        <f>(AD110/8)/$R$5</f>
        <v>#DIV/0!</v>
      </c>
      <c r="AG110" s="101">
        <v>2</v>
      </c>
      <c r="AH110" s="102" t="s">
        <v>67</v>
      </c>
      <c r="AI110" s="103" t="e">
        <f>(AG110/8)/$R$5</f>
        <v>#DIV/0!</v>
      </c>
    </row>
    <row r="111" spans="1:36" ht="16.5" customHeight="1" x14ac:dyDescent="0.25">
      <c r="A111" s="28"/>
      <c r="B111" s="87"/>
      <c r="C111" s="77"/>
      <c r="D111" s="77"/>
      <c r="E111" s="77"/>
      <c r="F111" s="77"/>
      <c r="G111" s="77"/>
      <c r="H111" s="77"/>
      <c r="I111" s="77"/>
      <c r="J111" s="57"/>
      <c r="K111" s="57"/>
      <c r="L111" s="261"/>
      <c r="M111" s="261"/>
      <c r="N111" s="261"/>
      <c r="O111" s="261"/>
      <c r="P111" s="261"/>
      <c r="Q111" s="261"/>
      <c r="R111" s="261"/>
      <c r="S111" s="261"/>
      <c r="T111" s="261"/>
      <c r="U111" s="261"/>
      <c r="V111" s="261"/>
      <c r="W111" s="261"/>
      <c r="X111" s="261"/>
      <c r="Y111" s="261"/>
      <c r="Z111" s="79"/>
      <c r="AA111" s="89">
        <v>7</v>
      </c>
      <c r="AB111" s="90" t="s">
        <v>67</v>
      </c>
      <c r="AC111" s="91" t="e">
        <f>(AA111/8)/$R$5</f>
        <v>#DIV/0!</v>
      </c>
      <c r="AD111" s="89">
        <v>4</v>
      </c>
      <c r="AE111" s="90" t="s">
        <v>67</v>
      </c>
      <c r="AF111" s="91" t="e">
        <f>(AD111/8)/$R$5</f>
        <v>#DIV/0!</v>
      </c>
      <c r="AG111" s="89">
        <v>1</v>
      </c>
      <c r="AH111" s="90" t="s">
        <v>68</v>
      </c>
      <c r="AI111" s="91" t="e">
        <f>(AG111/8)/$R$5</f>
        <v>#DIV/0!</v>
      </c>
    </row>
    <row r="112" spans="1:36" ht="16.5" customHeight="1" x14ac:dyDescent="0.25">
      <c r="A112" s="28"/>
      <c r="E112" s="76"/>
      <c r="F112" s="76"/>
      <c r="G112" s="77"/>
      <c r="H112" s="77"/>
      <c r="I112" s="77"/>
      <c r="J112" s="57"/>
      <c r="K112" s="57"/>
      <c r="L112" s="77"/>
      <c r="M112" s="77"/>
      <c r="N112" s="80"/>
      <c r="O112" s="81"/>
      <c r="P112" s="81"/>
      <c r="Q112" s="76"/>
      <c r="R112" s="76"/>
      <c r="S112" s="76"/>
      <c r="T112" s="76"/>
      <c r="U112" s="76"/>
      <c r="V112" s="77"/>
      <c r="W112" s="77"/>
      <c r="X112" s="82"/>
      <c r="Y112" s="82"/>
      <c r="Z112" s="79"/>
      <c r="AA112" s="89">
        <v>6</v>
      </c>
      <c r="AB112" s="90" t="s">
        <v>67</v>
      </c>
      <c r="AC112" s="91" t="e">
        <f>(AA112/8)/$R$5</f>
        <v>#DIV/0!</v>
      </c>
      <c r="AD112" s="89">
        <v>3</v>
      </c>
      <c r="AE112" s="90" t="s">
        <v>67</v>
      </c>
      <c r="AF112" s="91" t="e">
        <f>(AD112/8)/$R$5</f>
        <v>#DIV/0!</v>
      </c>
      <c r="AG112" s="89">
        <v>30</v>
      </c>
      <c r="AH112" s="90" t="s">
        <v>69</v>
      </c>
      <c r="AI112" s="91" t="e">
        <f>(0.5/8)/$R$5</f>
        <v>#DIV/0!</v>
      </c>
    </row>
    <row r="113" spans="1:35" ht="16.5" customHeight="1" thickBot="1" x14ac:dyDescent="0.3">
      <c r="A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row>
    <row r="114" spans="1:35" ht="26.25" customHeight="1" x14ac:dyDescent="0.3">
      <c r="A114" s="28"/>
      <c r="B114" s="268" t="s">
        <v>64</v>
      </c>
      <c r="C114" s="269"/>
      <c r="D114" s="269"/>
      <c r="E114" s="269"/>
      <c r="F114" s="269"/>
      <c r="G114" s="269"/>
      <c r="H114" s="269"/>
      <c r="I114" s="269"/>
      <c r="J114" s="269"/>
      <c r="K114" s="269"/>
      <c r="L114" s="269"/>
      <c r="M114" s="269"/>
      <c r="N114" s="269"/>
      <c r="O114" s="269"/>
      <c r="P114" s="269"/>
      <c r="Q114" s="269"/>
      <c r="R114" s="269"/>
      <c r="S114" s="269"/>
      <c r="T114" s="269"/>
      <c r="U114" s="269"/>
      <c r="V114" s="269"/>
      <c r="W114" s="269"/>
      <c r="X114" s="269"/>
      <c r="Y114" s="269"/>
      <c r="Z114" s="269"/>
      <c r="AA114" s="269"/>
      <c r="AB114" s="269"/>
      <c r="AC114" s="269"/>
      <c r="AD114" s="269"/>
      <c r="AE114" s="269"/>
      <c r="AF114" s="269"/>
      <c r="AG114" s="269"/>
      <c r="AH114" s="269"/>
      <c r="AI114" s="270"/>
    </row>
    <row r="115" spans="1:35" ht="49.5" customHeight="1" thickBot="1" x14ac:dyDescent="0.3">
      <c r="A115" s="28"/>
      <c r="B115" s="173"/>
      <c r="C115" s="279"/>
      <c r="D115" s="279"/>
      <c r="E115" s="279"/>
      <c r="F115" s="279"/>
      <c r="G115" s="279"/>
      <c r="H115" s="279"/>
      <c r="I115" s="279"/>
      <c r="J115" s="279"/>
      <c r="K115" s="279"/>
      <c r="L115" s="279"/>
      <c r="M115" s="279"/>
      <c r="N115" s="273" t="s">
        <v>63</v>
      </c>
      <c r="O115" s="273"/>
      <c r="P115" s="273"/>
      <c r="Q115" s="273"/>
      <c r="R115" s="273"/>
      <c r="S115" s="273"/>
      <c r="T115" s="273"/>
      <c r="U115" s="273"/>
      <c r="V115" s="273"/>
      <c r="W115" s="273"/>
      <c r="X115" s="279"/>
      <c r="Y115" s="279"/>
      <c r="Z115" s="279"/>
      <c r="AA115" s="279"/>
      <c r="AB115" s="279"/>
      <c r="AC115" s="279"/>
      <c r="AD115" s="279"/>
      <c r="AE115" s="279"/>
      <c r="AF115" s="279"/>
      <c r="AG115" s="279"/>
      <c r="AH115" s="279"/>
      <c r="AI115" s="83"/>
    </row>
    <row r="116" spans="1:35" ht="15.75" customHeight="1" thickBot="1" x14ac:dyDescent="0.3">
      <c r="A116" s="28"/>
      <c r="B116" s="168"/>
      <c r="C116" s="84" t="s">
        <v>30</v>
      </c>
      <c r="D116" s="84"/>
      <c r="E116" s="84"/>
      <c r="F116" s="84"/>
      <c r="G116" s="84"/>
      <c r="H116" s="84"/>
      <c r="I116" s="84"/>
      <c r="J116" s="84"/>
      <c r="K116" s="84"/>
      <c r="L116" s="84"/>
      <c r="M116" s="84"/>
      <c r="N116" s="84"/>
      <c r="O116" s="84"/>
      <c r="P116" s="84"/>
      <c r="Q116" s="84"/>
      <c r="R116" s="84"/>
      <c r="S116" s="84"/>
      <c r="T116" s="84"/>
      <c r="U116" s="84"/>
      <c r="V116" s="84"/>
      <c r="W116" s="84"/>
      <c r="X116" s="84" t="s">
        <v>31</v>
      </c>
      <c r="Y116" s="84"/>
      <c r="Z116" s="84"/>
      <c r="AA116" s="84"/>
      <c r="AB116" s="84"/>
      <c r="AC116" s="84"/>
      <c r="AD116" s="84"/>
      <c r="AE116" s="84"/>
      <c r="AF116" s="84"/>
      <c r="AG116" s="84"/>
      <c r="AH116" s="84"/>
      <c r="AI116" s="85"/>
    </row>
    <row r="117" spans="1:35" ht="18" customHeight="1" x14ac:dyDescent="0.25">
      <c r="A117" s="28"/>
      <c r="B117" s="274" t="s">
        <v>32</v>
      </c>
      <c r="C117" s="275"/>
      <c r="D117" s="275"/>
      <c r="E117" s="275"/>
      <c r="F117" s="275"/>
      <c r="G117" s="275"/>
      <c r="H117" s="275"/>
      <c r="I117" s="275"/>
      <c r="J117" s="275"/>
      <c r="K117" s="275"/>
      <c r="L117" s="275"/>
      <c r="M117" s="275"/>
      <c r="N117" s="275"/>
      <c r="O117" s="275"/>
      <c r="P117" s="275"/>
      <c r="Q117" s="275"/>
      <c r="R117" s="275"/>
      <c r="S117" s="275"/>
      <c r="T117" s="275"/>
      <c r="U117" s="275"/>
      <c r="V117" s="275"/>
      <c r="W117" s="275"/>
      <c r="X117" s="275"/>
      <c r="Y117" s="275"/>
      <c r="Z117" s="275"/>
      <c r="AA117" s="275"/>
      <c r="AB117" s="275"/>
      <c r="AC117" s="275"/>
      <c r="AD117" s="275"/>
      <c r="AE117" s="275"/>
      <c r="AF117" s="275"/>
      <c r="AG117" s="275"/>
      <c r="AH117" s="275"/>
      <c r="AI117" s="276"/>
    </row>
    <row r="118" spans="1:35" ht="20.25" customHeight="1" x14ac:dyDescent="0.25">
      <c r="A118" s="28"/>
      <c r="B118" s="277" t="s">
        <v>448</v>
      </c>
      <c r="C118" s="277"/>
      <c r="D118" s="277"/>
      <c r="E118" s="277"/>
      <c r="F118" s="277"/>
      <c r="G118" s="277"/>
      <c r="H118" s="277"/>
      <c r="I118" s="277"/>
      <c r="J118" s="277"/>
      <c r="K118" s="277"/>
      <c r="L118" s="277"/>
      <c r="M118" s="277"/>
      <c r="N118" s="277"/>
      <c r="O118" s="277"/>
      <c r="P118" s="277"/>
      <c r="Q118" s="277"/>
      <c r="R118" s="277"/>
      <c r="S118" s="277"/>
      <c r="T118" s="277"/>
      <c r="U118" s="277"/>
      <c r="V118" s="277"/>
      <c r="W118" s="277"/>
      <c r="X118" s="277"/>
      <c r="Y118" s="277"/>
      <c r="Z118" s="277"/>
      <c r="AA118" s="277"/>
      <c r="AB118" s="277"/>
      <c r="AC118" s="277"/>
      <c r="AD118" s="277"/>
      <c r="AE118" s="277"/>
      <c r="AF118" s="277"/>
      <c r="AG118" s="277"/>
      <c r="AH118" s="277"/>
      <c r="AI118" s="277"/>
    </row>
    <row r="119" spans="1:35" ht="18.75" customHeight="1" x14ac:dyDescent="0.25">
      <c r="A119" s="28"/>
      <c r="B119" s="278"/>
      <c r="C119" s="278"/>
      <c r="D119" s="278"/>
      <c r="E119" s="278"/>
      <c r="F119" s="278"/>
      <c r="G119" s="278"/>
      <c r="H119" s="278"/>
      <c r="I119" s="278"/>
      <c r="J119" s="278"/>
      <c r="K119" s="278"/>
      <c r="L119" s="278"/>
      <c r="M119" s="278"/>
      <c r="N119" s="278"/>
      <c r="O119" s="278"/>
      <c r="P119" s="278"/>
      <c r="Q119" s="278"/>
      <c r="R119" s="278"/>
      <c r="S119" s="278"/>
      <c r="T119" s="278"/>
      <c r="U119" s="278"/>
      <c r="V119" s="278"/>
      <c r="W119" s="278"/>
      <c r="X119" s="278"/>
      <c r="Y119" s="278"/>
      <c r="Z119" s="278"/>
      <c r="AA119" s="278"/>
      <c r="AB119" s="278"/>
      <c r="AC119" s="278"/>
      <c r="AD119" s="278"/>
      <c r="AE119" s="278"/>
      <c r="AF119" s="278"/>
      <c r="AG119" s="278"/>
      <c r="AH119" s="278"/>
      <c r="AI119" s="278"/>
    </row>
    <row r="120" spans="1:35" x14ac:dyDescent="0.25">
      <c r="A120" s="28"/>
      <c r="B120" s="174"/>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row>
    <row r="121" spans="1:35" x14ac:dyDescent="0.25">
      <c r="A121" s="28"/>
      <c r="B121" s="174"/>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row>
    <row r="122" spans="1:35" x14ac:dyDescent="0.25">
      <c r="A122" s="28"/>
      <c r="B122" s="174"/>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row>
    <row r="123" spans="1:35" x14ac:dyDescent="0.25">
      <c r="A123" s="28"/>
      <c r="B123" s="174"/>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row>
    <row r="124" spans="1:35" x14ac:dyDescent="0.25">
      <c r="A124" s="28"/>
      <c r="B124" s="174"/>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row>
    <row r="125" spans="1:35" x14ac:dyDescent="0.25">
      <c r="A125" s="28"/>
      <c r="B125" s="174"/>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row>
    <row r="126" spans="1:35" ht="21.75" thickBot="1" x14ac:dyDescent="0.3">
      <c r="A126" s="28"/>
      <c r="B126" s="174"/>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row>
    <row r="127" spans="1:35" ht="26.25" x14ac:dyDescent="0.4">
      <c r="A127" s="28"/>
      <c r="B127" s="271" t="s">
        <v>75</v>
      </c>
      <c r="C127" s="272"/>
      <c r="D127" s="272"/>
      <c r="E127" s="272"/>
      <c r="F127" s="272"/>
      <c r="G127" s="272"/>
      <c r="H127" s="272"/>
      <c r="I127" s="272"/>
      <c r="J127" s="272"/>
      <c r="K127" s="272"/>
      <c r="L127" s="272"/>
      <c r="M127" s="272"/>
      <c r="N127" s="272"/>
      <c r="O127" s="272"/>
      <c r="P127" s="272"/>
      <c r="Q127" s="272"/>
      <c r="R127" s="272"/>
      <c r="S127" s="272"/>
      <c r="T127" s="272"/>
      <c r="U127" s="272"/>
      <c r="V127" s="272"/>
      <c r="W127" s="272"/>
      <c r="X127" s="272"/>
      <c r="Y127" s="272"/>
      <c r="Z127" s="272"/>
      <c r="AA127" s="272"/>
      <c r="AB127" s="272"/>
      <c r="AC127" s="272"/>
      <c r="AD127" s="272"/>
      <c r="AE127" s="272"/>
      <c r="AF127" s="272"/>
      <c r="AG127" s="272"/>
      <c r="AH127" s="272"/>
      <c r="AI127" s="126"/>
    </row>
    <row r="128" spans="1:35" x14ac:dyDescent="0.35">
      <c r="A128" s="28"/>
      <c r="B128" s="175" t="s">
        <v>76</v>
      </c>
      <c r="C128" s="95"/>
      <c r="D128" s="95"/>
      <c r="E128" s="95"/>
      <c r="F128" s="95"/>
      <c r="G128" s="95"/>
      <c r="H128" s="95"/>
      <c r="I128" s="95"/>
      <c r="J128" s="95"/>
      <c r="K128" s="95"/>
      <c r="L128" s="95"/>
      <c r="M128" s="95"/>
      <c r="N128" s="96" t="s">
        <v>78</v>
      </c>
      <c r="O128" s="95"/>
      <c r="P128" s="95"/>
      <c r="Q128" s="95"/>
      <c r="R128" s="95"/>
      <c r="S128" s="95"/>
      <c r="T128" s="95"/>
      <c r="U128" s="95"/>
      <c r="V128" s="95"/>
      <c r="W128" s="95"/>
      <c r="X128" s="95"/>
      <c r="Y128" s="95"/>
      <c r="Z128" s="95"/>
      <c r="AA128" s="95"/>
      <c r="AB128" s="96" t="s">
        <v>91</v>
      </c>
      <c r="AC128" s="95"/>
      <c r="AD128" s="95"/>
      <c r="AE128" s="95"/>
      <c r="AF128" s="95"/>
      <c r="AG128" s="95"/>
      <c r="AH128" s="95"/>
      <c r="AI128" s="97"/>
    </row>
    <row r="129" spans="1:35" ht="21.75" thickBot="1" x14ac:dyDescent="0.4">
      <c r="A129" s="28"/>
      <c r="B129" s="176" t="s">
        <v>77</v>
      </c>
      <c r="C129" s="98"/>
      <c r="D129" s="98"/>
      <c r="E129" s="98"/>
      <c r="F129" s="98"/>
      <c r="G129" s="98"/>
      <c r="H129" s="98"/>
      <c r="I129" s="98"/>
      <c r="J129" s="98"/>
      <c r="K129" s="98"/>
      <c r="L129" s="98"/>
      <c r="M129" s="98"/>
      <c r="N129" s="99" t="s">
        <v>79</v>
      </c>
      <c r="O129" s="98"/>
      <c r="P129" s="98"/>
      <c r="Q129" s="98"/>
      <c r="R129" s="98"/>
      <c r="S129" s="98"/>
      <c r="T129" s="98"/>
      <c r="U129" s="98"/>
      <c r="V129" s="98"/>
      <c r="W129" s="98"/>
      <c r="X129" s="98"/>
      <c r="Y129" s="98"/>
      <c r="Z129" s="98"/>
      <c r="AA129" s="98"/>
      <c r="AB129" s="99" t="s">
        <v>92</v>
      </c>
      <c r="AC129" s="98"/>
      <c r="AD129" s="98"/>
      <c r="AE129" s="98"/>
      <c r="AF129" s="98"/>
      <c r="AG129" s="98"/>
      <c r="AH129" s="98"/>
      <c r="AI129" s="100"/>
    </row>
  </sheetData>
  <sheetProtection algorithmName="SHA-512" hashValue="skuLTEqulaMEcu0iRQmha7zZogAcJCrbQzoqaiwQZPoXMuk5jyqt1TU9nrO13lLrjd34GAmKfMi25dp1uj6mZQ==" saltValue="Xn0yw6XuD2Mgc8G/FF5odA==" spinCount="100000" sheet="1" selectLockedCells="1"/>
  <mergeCells count="97">
    <mergeCell ref="AD6:AE7"/>
    <mergeCell ref="P2:Y2"/>
    <mergeCell ref="AF2:AG2"/>
    <mergeCell ref="O7:P7"/>
    <mergeCell ref="B93:B98"/>
    <mergeCell ref="B44:B49"/>
    <mergeCell ref="B51:B56"/>
    <mergeCell ref="B58:B63"/>
    <mergeCell ref="B65:B70"/>
    <mergeCell ref="B72:B77"/>
    <mergeCell ref="B9:B14"/>
    <mergeCell ref="B16:B21"/>
    <mergeCell ref="B23:B28"/>
    <mergeCell ref="B30:B35"/>
    <mergeCell ref="B37:B42"/>
    <mergeCell ref="B79:B84"/>
    <mergeCell ref="B114:AI114"/>
    <mergeCell ref="B127:AH127"/>
    <mergeCell ref="N115:W115"/>
    <mergeCell ref="B117:AI117"/>
    <mergeCell ref="B118:AI119"/>
    <mergeCell ref="C115:M115"/>
    <mergeCell ref="X115:AH115"/>
    <mergeCell ref="M106:N106"/>
    <mergeCell ref="X106:Y106"/>
    <mergeCell ref="AD106:AE106"/>
    <mergeCell ref="L110:Y111"/>
    <mergeCell ref="L109:Y109"/>
    <mergeCell ref="AA109:AI109"/>
    <mergeCell ref="M107:N107"/>
    <mergeCell ref="AD107:AI108"/>
    <mergeCell ref="M108:N108"/>
    <mergeCell ref="B86:B91"/>
    <mergeCell ref="X5:Y5"/>
    <mergeCell ref="X6:Y7"/>
    <mergeCell ref="AF105:AI105"/>
    <mergeCell ref="AB1:AC1"/>
    <mergeCell ref="AI9:AI10"/>
    <mergeCell ref="AD1:AI1"/>
    <mergeCell ref="O6:P6"/>
    <mergeCell ref="R5:S5"/>
    <mergeCell ref="U5:V5"/>
    <mergeCell ref="O5:P5"/>
    <mergeCell ref="AE4:AI4"/>
    <mergeCell ref="AA5:AB5"/>
    <mergeCell ref="P3:S3"/>
    <mergeCell ref="AD5:AE5"/>
    <mergeCell ref="F1:I1"/>
    <mergeCell ref="B1:E1"/>
    <mergeCell ref="J1:AA1"/>
    <mergeCell ref="AA6:AB7"/>
    <mergeCell ref="B6:D6"/>
    <mergeCell ref="R6:S6"/>
    <mergeCell ref="R7:S7"/>
    <mergeCell ref="B3:E3"/>
    <mergeCell ref="U6:V6"/>
    <mergeCell ref="U7:V7"/>
    <mergeCell ref="B2:M2"/>
    <mergeCell ref="B5:M5"/>
    <mergeCell ref="X103:Y103"/>
    <mergeCell ref="AD103:AE103"/>
    <mergeCell ref="M105:N105"/>
    <mergeCell ref="R105:S105"/>
    <mergeCell ref="X105:Y105"/>
    <mergeCell ref="AD105:AE105"/>
    <mergeCell ref="M104:N104"/>
    <mergeCell ref="AD104:AE104"/>
    <mergeCell ref="M103:N103"/>
    <mergeCell ref="Z104:AB104"/>
    <mergeCell ref="X104:Y104"/>
    <mergeCell ref="B103:J103"/>
    <mergeCell ref="B104:H104"/>
    <mergeCell ref="B105:H105"/>
    <mergeCell ref="B106:H106"/>
    <mergeCell ref="B102:J102"/>
    <mergeCell ref="X102:Y102"/>
    <mergeCell ref="M101:N101"/>
    <mergeCell ref="X101:Y101"/>
    <mergeCell ref="AD101:AE101"/>
    <mergeCell ref="AD102:AE102"/>
    <mergeCell ref="M102:N102"/>
    <mergeCell ref="AH2:AI2"/>
    <mergeCell ref="AH3:AI3"/>
    <mergeCell ref="AF102:AI102"/>
    <mergeCell ref="AI93:AI94"/>
    <mergeCell ref="AI86:AI87"/>
    <mergeCell ref="AI23:AI24"/>
    <mergeCell ref="AI16:AI17"/>
    <mergeCell ref="AI37:AI38"/>
    <mergeCell ref="AI30:AI31"/>
    <mergeCell ref="AI51:AI52"/>
    <mergeCell ref="AI44:AI45"/>
    <mergeCell ref="AI58:AI59"/>
    <mergeCell ref="AI79:AI80"/>
    <mergeCell ref="AI72:AI73"/>
    <mergeCell ref="AI65:AI66"/>
    <mergeCell ref="AF101:AI101"/>
  </mergeCells>
  <conditionalFormatting sqref="AH37:AH42">
    <cfRule type="expression" dxfId="299" priority="1587">
      <formula>AH$23="S"</formula>
    </cfRule>
  </conditionalFormatting>
  <conditionalFormatting sqref="AH23:AH28 AH37:AH42">
    <cfRule type="expression" dxfId="298" priority="1586">
      <formula>AH24=""</formula>
    </cfRule>
  </conditionalFormatting>
  <conditionalFormatting sqref="AG58:AH63">
    <cfRule type="expression" dxfId="297" priority="1583">
      <formula>AG$23="S"</formula>
    </cfRule>
  </conditionalFormatting>
  <conditionalFormatting sqref="AG58:AH63">
    <cfRule type="expression" dxfId="296" priority="1582">
      <formula>AG$59=""</formula>
    </cfRule>
  </conditionalFormatting>
  <conditionalFormatting sqref="AH72:AH77">
    <cfRule type="expression" dxfId="295" priority="1581">
      <formula>AH$23="S"</formula>
    </cfRule>
  </conditionalFormatting>
  <conditionalFormatting sqref="AH72:AH77">
    <cfRule type="expression" dxfId="294" priority="1580">
      <formula>AH$59=""</formula>
    </cfRule>
  </conditionalFormatting>
  <conditionalFormatting sqref="AH86:AH91">
    <cfRule type="expression" dxfId="293" priority="1579">
      <formula>AH$23="S"</formula>
    </cfRule>
  </conditionalFormatting>
  <conditionalFormatting sqref="AH86:AH91">
    <cfRule type="expression" dxfId="292" priority="1578">
      <formula>AH$59=""</formula>
    </cfRule>
  </conditionalFormatting>
  <conditionalFormatting sqref="AD1:AI1">
    <cfRule type="containsBlanks" dxfId="291" priority="1566">
      <formula>LEN(TRIM(AD1))=0</formula>
    </cfRule>
  </conditionalFormatting>
  <conditionalFormatting sqref="D11">
    <cfRule type="expression" dxfId="290" priority="166">
      <formula>OR(D13&gt;0,D14&gt;0)</formula>
    </cfRule>
    <cfRule type="expression" dxfId="289" priority="1472">
      <formula>D$9="S"</formula>
    </cfRule>
  </conditionalFormatting>
  <conditionalFormatting sqref="D12:D14">
    <cfRule type="expression" dxfId="288" priority="511">
      <formula>D$9="S"</formula>
    </cfRule>
  </conditionalFormatting>
  <conditionalFormatting sqref="D18">
    <cfRule type="expression" dxfId="287" priority="154">
      <formula>OR(D20&gt;0,D21&gt;0)</formula>
    </cfRule>
    <cfRule type="expression" dxfId="286" priority="500">
      <formula>D$16="S"</formula>
    </cfRule>
  </conditionalFormatting>
  <conditionalFormatting sqref="E18:AH18">
    <cfRule type="expression" dxfId="285" priority="478">
      <formula>E$16="S"</formula>
    </cfRule>
  </conditionalFormatting>
  <conditionalFormatting sqref="D19:D21">
    <cfRule type="expression" dxfId="284" priority="475">
      <formula>D$16="S"</formula>
    </cfRule>
  </conditionalFormatting>
  <conditionalFormatting sqref="E19:AH21">
    <cfRule type="expression" dxfId="283" priority="472">
      <formula>E$16="S"</formula>
    </cfRule>
  </conditionalFormatting>
  <conditionalFormatting sqref="D25">
    <cfRule type="expression" dxfId="282" priority="146">
      <formula>OR(D27&gt;0,D28&gt;0)</formula>
    </cfRule>
    <cfRule type="expression" dxfId="281" priority="469">
      <formula>D$23="S"</formula>
    </cfRule>
  </conditionalFormatting>
  <conditionalFormatting sqref="E25:AG25">
    <cfRule type="expression" dxfId="280" priority="466">
      <formula>E$23="S"</formula>
    </cfRule>
  </conditionalFormatting>
  <conditionalFormatting sqref="D26:D28">
    <cfRule type="expression" dxfId="279" priority="463">
      <formula>D$23="S"</formula>
    </cfRule>
  </conditionalFormatting>
  <conditionalFormatting sqref="E26:AG28">
    <cfRule type="expression" dxfId="278" priority="460">
      <formula>E$23="S"</formula>
    </cfRule>
  </conditionalFormatting>
  <conditionalFormatting sqref="D32">
    <cfRule type="expression" dxfId="277" priority="143">
      <formula>OR(D34&gt;0,D35&gt;0)</formula>
    </cfRule>
    <cfRule type="expression" dxfId="276" priority="457">
      <formula>D$30="S"</formula>
    </cfRule>
  </conditionalFormatting>
  <conditionalFormatting sqref="E32:AH32">
    <cfRule type="expression" dxfId="275" priority="287">
      <formula>E$30="S"</formula>
    </cfRule>
  </conditionalFormatting>
  <conditionalFormatting sqref="D33:D35">
    <cfRule type="expression" dxfId="274" priority="284">
      <formula>D$30="S"</formula>
    </cfRule>
  </conditionalFormatting>
  <conditionalFormatting sqref="E33:AH35">
    <cfRule type="expression" dxfId="273" priority="281">
      <formula>E$30="S"</formula>
    </cfRule>
  </conditionalFormatting>
  <conditionalFormatting sqref="D39">
    <cfRule type="expression" dxfId="272" priority="140">
      <formula>OR(D41&gt;0,D42&gt;0)</formula>
    </cfRule>
    <cfRule type="expression" dxfId="271" priority="278">
      <formula>D$37="S"</formula>
    </cfRule>
  </conditionalFormatting>
  <conditionalFormatting sqref="E39:AG39">
    <cfRule type="expression" dxfId="270" priority="275">
      <formula>E$37="S"</formula>
    </cfRule>
  </conditionalFormatting>
  <conditionalFormatting sqref="D40:D42">
    <cfRule type="expression" dxfId="269" priority="272">
      <formula>D$37="S"</formula>
    </cfRule>
  </conditionalFormatting>
  <conditionalFormatting sqref="E40:AG42">
    <cfRule type="expression" dxfId="268" priority="269">
      <formula>E$37="S"</formula>
    </cfRule>
  </conditionalFormatting>
  <conditionalFormatting sqref="D46">
    <cfRule type="expression" dxfId="267" priority="137">
      <formula>OR(D48&gt;0,D49&gt;0)</formula>
    </cfRule>
    <cfRule type="expression" dxfId="266" priority="266">
      <formula>D$44="S"</formula>
    </cfRule>
  </conditionalFormatting>
  <conditionalFormatting sqref="E46:AH46">
    <cfRule type="expression" dxfId="265" priority="263">
      <formula>E$44="S"</formula>
    </cfRule>
  </conditionalFormatting>
  <conditionalFormatting sqref="D47:D49">
    <cfRule type="expression" dxfId="264" priority="260">
      <formula>D$44="S"</formula>
    </cfRule>
  </conditionalFormatting>
  <conditionalFormatting sqref="E47:AH49">
    <cfRule type="expression" dxfId="263" priority="257">
      <formula>E$44="S"</formula>
    </cfRule>
  </conditionalFormatting>
  <conditionalFormatting sqref="D53">
    <cfRule type="expression" dxfId="262" priority="134">
      <formula>OR(D55&gt;0,D56&gt;0)</formula>
    </cfRule>
    <cfRule type="expression" dxfId="261" priority="254">
      <formula>D$51="S"</formula>
    </cfRule>
  </conditionalFormatting>
  <conditionalFormatting sqref="E53:AH53">
    <cfRule type="expression" dxfId="260" priority="251">
      <formula>E$51="S"</formula>
    </cfRule>
  </conditionalFormatting>
  <conditionalFormatting sqref="D54:D56">
    <cfRule type="expression" dxfId="259" priority="248">
      <formula>D$51="S"</formula>
    </cfRule>
  </conditionalFormatting>
  <conditionalFormatting sqref="E54:AH56">
    <cfRule type="expression" dxfId="258" priority="245">
      <formula>E$51="S"</formula>
    </cfRule>
  </conditionalFormatting>
  <conditionalFormatting sqref="D60">
    <cfRule type="expression" dxfId="257" priority="131">
      <formula>OR(D62&gt;0,D63&gt;0)</formula>
    </cfRule>
    <cfRule type="expression" dxfId="256" priority="242">
      <formula>D$58="S"</formula>
    </cfRule>
  </conditionalFormatting>
  <conditionalFormatting sqref="E60:AE60">
    <cfRule type="expression" dxfId="255" priority="239">
      <formula>E$58="S"</formula>
    </cfRule>
  </conditionalFormatting>
  <conditionalFormatting sqref="D61:D63">
    <cfRule type="expression" dxfId="254" priority="236">
      <formula>D$58="S"</formula>
    </cfRule>
  </conditionalFormatting>
  <conditionalFormatting sqref="E61:AE63">
    <cfRule type="expression" dxfId="253" priority="233">
      <formula>E$58="S"</formula>
    </cfRule>
  </conditionalFormatting>
  <conditionalFormatting sqref="D67">
    <cfRule type="expression" dxfId="252" priority="93">
      <formula>OR(D69&gt;0,D70&gt;0)</formula>
    </cfRule>
    <cfRule type="expression" dxfId="251" priority="230">
      <formula>D$65="S"</formula>
    </cfRule>
  </conditionalFormatting>
  <conditionalFormatting sqref="E67:AH67">
    <cfRule type="expression" dxfId="250" priority="227">
      <formula>E$65="S"</formula>
    </cfRule>
  </conditionalFormatting>
  <conditionalFormatting sqref="D68:D70">
    <cfRule type="expression" dxfId="249" priority="224">
      <formula>D$65="S"</formula>
    </cfRule>
  </conditionalFormatting>
  <conditionalFormatting sqref="E68:AH70">
    <cfRule type="expression" dxfId="248" priority="221">
      <formula>E$65="S"</formula>
    </cfRule>
  </conditionalFormatting>
  <conditionalFormatting sqref="D74">
    <cfRule type="expression" dxfId="247" priority="90">
      <formula>OR(D76&gt;0,D77&gt;0)</formula>
    </cfRule>
    <cfRule type="expression" dxfId="246" priority="218">
      <formula>D$72="S"</formula>
    </cfRule>
  </conditionalFormatting>
  <conditionalFormatting sqref="E74:AG74">
    <cfRule type="expression" dxfId="245" priority="215">
      <formula>E$72="S"</formula>
    </cfRule>
  </conditionalFormatting>
  <conditionalFormatting sqref="D75:D77">
    <cfRule type="expression" dxfId="244" priority="212">
      <formula>D$72="S"</formula>
    </cfRule>
  </conditionalFormatting>
  <conditionalFormatting sqref="E75:AG77">
    <cfRule type="expression" dxfId="243" priority="209">
      <formula>E$72="S"</formula>
    </cfRule>
  </conditionalFormatting>
  <conditionalFormatting sqref="D81">
    <cfRule type="expression" dxfId="242" priority="87">
      <formula>OR(D83&gt;0,D84&gt;0)</formula>
    </cfRule>
    <cfRule type="expression" dxfId="241" priority="206">
      <formula>D$79="S"</formula>
    </cfRule>
  </conditionalFormatting>
  <conditionalFormatting sqref="E81:AH81">
    <cfRule type="expression" dxfId="240" priority="203">
      <formula>E$79="S"</formula>
    </cfRule>
  </conditionalFormatting>
  <conditionalFormatting sqref="D82:D84">
    <cfRule type="expression" dxfId="239" priority="200">
      <formula>D$79="S"</formula>
    </cfRule>
  </conditionalFormatting>
  <conditionalFormatting sqref="E82:AH84">
    <cfRule type="expression" dxfId="238" priority="197">
      <formula>E$79="S"</formula>
    </cfRule>
  </conditionalFormatting>
  <conditionalFormatting sqref="D88">
    <cfRule type="expression" dxfId="237" priority="84">
      <formula>OR(D90&gt;0,D91&gt;0)</formula>
    </cfRule>
    <cfRule type="expression" dxfId="236" priority="194">
      <formula>D$86="S"</formula>
    </cfRule>
  </conditionalFormatting>
  <conditionalFormatting sqref="E88:AG88">
    <cfRule type="expression" dxfId="235" priority="191">
      <formula>E$86="S"</formula>
    </cfRule>
  </conditionalFormatting>
  <conditionalFormatting sqref="D89:D91">
    <cfRule type="expression" dxfId="234" priority="188">
      <formula>D$86="S"</formula>
    </cfRule>
  </conditionalFormatting>
  <conditionalFormatting sqref="E89:AG91">
    <cfRule type="expression" dxfId="233" priority="185">
      <formula>E$86="S"</formula>
    </cfRule>
  </conditionalFormatting>
  <conditionalFormatting sqref="D95">
    <cfRule type="expression" dxfId="232" priority="81">
      <formula>OR(D97&gt;0,D98&gt;0)</formula>
    </cfRule>
    <cfRule type="expression" dxfId="231" priority="182">
      <formula>D$93="S"</formula>
    </cfRule>
  </conditionalFormatting>
  <conditionalFormatting sqref="E95:AH95">
    <cfRule type="expression" dxfId="230" priority="179">
      <formula>E$93="S"</formula>
    </cfRule>
  </conditionalFormatting>
  <conditionalFormatting sqref="D96:D98">
    <cfRule type="expression" dxfId="229" priority="176">
      <formula>D$93="S"</formula>
    </cfRule>
  </conditionalFormatting>
  <conditionalFormatting sqref="E96:AH98">
    <cfRule type="expression" dxfId="228" priority="173">
      <formula>E$93="S"</formula>
    </cfRule>
  </conditionalFormatting>
  <conditionalFormatting sqref="AH42">
    <cfRule type="expression" dxfId="227" priority="1825">
      <formula>#REF!=""</formula>
    </cfRule>
  </conditionalFormatting>
  <conditionalFormatting sqref="B2:M2 P2 AF2 O5:P5 R5:S5 B5:M5 AH2">
    <cfRule type="containsBlanks" dxfId="226" priority="172">
      <formula>LEN(TRIM(B2))=0</formula>
    </cfRule>
  </conditionalFormatting>
  <conditionalFormatting sqref="AC5 AF5:AJ5">
    <cfRule type="cellIs" dxfId="225" priority="171" operator="equal">
      <formula>"Enter 8.36 for Full Day and 4.18 for Half Day"</formula>
    </cfRule>
  </conditionalFormatting>
  <conditionalFormatting sqref="R7:S8">
    <cfRule type="expression" dxfId="224" priority="169">
      <formula>$R$5&gt;0.124</formula>
    </cfRule>
    <cfRule type="expression" dxfId="223" priority="170">
      <formula>$R$5=""</formula>
    </cfRule>
  </conditionalFormatting>
  <conditionalFormatting sqref="D13">
    <cfRule type="expression" dxfId="222" priority="165">
      <formula>OR(D11&gt;0,D14&gt;0)</formula>
    </cfRule>
  </conditionalFormatting>
  <conditionalFormatting sqref="D14">
    <cfRule type="expression" dxfId="221" priority="164">
      <formula>OR(D11&gt;0,D13&gt;0)</formula>
    </cfRule>
  </conditionalFormatting>
  <conditionalFormatting sqref="E11:AH11">
    <cfRule type="expression" dxfId="220" priority="157">
      <formula>OR(E13&gt;0,E14&gt;0)</formula>
    </cfRule>
    <cfRule type="expression" dxfId="219" priority="161">
      <formula>E$9="S"</formula>
    </cfRule>
  </conditionalFormatting>
  <conditionalFormatting sqref="E12:AH14">
    <cfRule type="expression" dxfId="218" priority="158">
      <formula>E$9="S"</formula>
    </cfRule>
  </conditionalFormatting>
  <conditionalFormatting sqref="E13:AH13">
    <cfRule type="expression" dxfId="217" priority="156">
      <formula>OR(E11&gt;0,E14&gt;0)</formula>
    </cfRule>
  </conditionalFormatting>
  <conditionalFormatting sqref="E14:AH14">
    <cfRule type="expression" dxfId="216" priority="155">
      <formula>OR(E11&gt;0,E13&gt;0)</formula>
    </cfRule>
  </conditionalFormatting>
  <conditionalFormatting sqref="D20">
    <cfRule type="expression" dxfId="215" priority="153">
      <formula>OR(D18&gt;0,D21&gt;0)</formula>
    </cfRule>
  </conditionalFormatting>
  <conditionalFormatting sqref="D21">
    <cfRule type="expression" dxfId="214" priority="152">
      <formula>OR(D18&gt;0,D20&gt;0)</formula>
    </cfRule>
  </conditionalFormatting>
  <conditionalFormatting sqref="E18:AH18">
    <cfRule type="expression" dxfId="213" priority="149">
      <formula>OR(E20&gt;0,E21&gt;0)</formula>
    </cfRule>
    <cfRule type="expression" dxfId="212" priority="151">
      <formula>E$16="S"</formula>
    </cfRule>
  </conditionalFormatting>
  <conditionalFormatting sqref="E19:AH21">
    <cfRule type="expression" dxfId="211" priority="150">
      <formula>E$16="S"</formula>
    </cfRule>
  </conditionalFormatting>
  <conditionalFormatting sqref="E20:AH20">
    <cfRule type="expression" dxfId="210" priority="148">
      <formula>OR(E18&gt;0,E21&gt;0)</formula>
    </cfRule>
  </conditionalFormatting>
  <conditionalFormatting sqref="E21:AH21">
    <cfRule type="expression" dxfId="209" priority="147">
      <formula>OR(E18&gt;0,E20&gt;0)</formula>
    </cfRule>
  </conditionalFormatting>
  <conditionalFormatting sqref="D27">
    <cfRule type="expression" dxfId="208" priority="145">
      <formula>OR(D25&gt;0,D28&gt;0)</formula>
    </cfRule>
  </conditionalFormatting>
  <conditionalFormatting sqref="D28">
    <cfRule type="expression" dxfId="207" priority="144">
      <formula>OR(D27&gt;0,D25&gt;0)</formula>
    </cfRule>
  </conditionalFormatting>
  <conditionalFormatting sqref="D34">
    <cfRule type="expression" dxfId="206" priority="142">
      <formula>OR(D32&gt;0,D35&gt;0)</formula>
    </cfRule>
  </conditionalFormatting>
  <conditionalFormatting sqref="D35">
    <cfRule type="expression" dxfId="205" priority="141">
      <formula>OR(D34&gt;0,D32&gt;0)</formula>
    </cfRule>
  </conditionalFormatting>
  <conditionalFormatting sqref="D41">
    <cfRule type="expression" dxfId="204" priority="139">
      <formula>OR(D39&gt;0,D42&gt;0)</formula>
    </cfRule>
  </conditionalFormatting>
  <conditionalFormatting sqref="D42">
    <cfRule type="expression" dxfId="203" priority="138">
      <formula>OR(D41&gt;0,D39&gt;0)</formula>
    </cfRule>
  </conditionalFormatting>
  <conditionalFormatting sqref="D48">
    <cfRule type="expression" dxfId="202" priority="136">
      <formula>OR(D46&gt;0,D49&gt;0)</formula>
    </cfRule>
  </conditionalFormatting>
  <conditionalFormatting sqref="D49">
    <cfRule type="expression" dxfId="201" priority="135">
      <formula>OR(D48&gt;0,D46&gt;0)</formula>
    </cfRule>
  </conditionalFormatting>
  <conditionalFormatting sqref="D55">
    <cfRule type="expression" dxfId="200" priority="133">
      <formula>OR(D53&gt;0,D56&gt;0)</formula>
    </cfRule>
  </conditionalFormatting>
  <conditionalFormatting sqref="D56">
    <cfRule type="expression" dxfId="199" priority="132">
      <formula>OR(D55&gt;0,D53&gt;0)</formula>
    </cfRule>
  </conditionalFormatting>
  <conditionalFormatting sqref="D62">
    <cfRule type="expression" dxfId="198" priority="130">
      <formula>OR(D60&gt;0,D63&gt;0)</formula>
    </cfRule>
  </conditionalFormatting>
  <conditionalFormatting sqref="D63">
    <cfRule type="expression" dxfId="197" priority="129">
      <formula>OR(D60&gt;0,D62&gt;0)</formula>
    </cfRule>
  </conditionalFormatting>
  <conditionalFormatting sqref="E60:AE60">
    <cfRule type="expression" dxfId="196" priority="126">
      <formula>OR(E62&gt;0,E63&gt;0)</formula>
    </cfRule>
    <cfRule type="expression" dxfId="195" priority="128">
      <formula>E$58="S"</formula>
    </cfRule>
  </conditionalFormatting>
  <conditionalFormatting sqref="E61:AE63">
    <cfRule type="expression" dxfId="194" priority="127">
      <formula>E$58="S"</formula>
    </cfRule>
  </conditionalFormatting>
  <conditionalFormatting sqref="E62:AE62">
    <cfRule type="expression" dxfId="193" priority="125">
      <formula>OR(E60&gt;0,E63&gt;0)</formula>
    </cfRule>
  </conditionalFormatting>
  <conditionalFormatting sqref="E63:AE63">
    <cfRule type="expression" dxfId="192" priority="124">
      <formula>OR(E60&gt;0,E62&gt;0)</formula>
    </cfRule>
  </conditionalFormatting>
  <conditionalFormatting sqref="E53:AH53">
    <cfRule type="expression" dxfId="191" priority="121">
      <formula>OR(E55&gt;0,E56&gt;0)</formula>
    </cfRule>
    <cfRule type="expression" dxfId="190" priority="123">
      <formula>E$51="S"</formula>
    </cfRule>
  </conditionalFormatting>
  <conditionalFormatting sqref="E54:AH56">
    <cfRule type="expression" dxfId="189" priority="122">
      <formula>E$51="S"</formula>
    </cfRule>
  </conditionalFormatting>
  <conditionalFormatting sqref="E55:AH55">
    <cfRule type="expression" dxfId="188" priority="120">
      <formula>OR(E53&gt;0,E56&gt;0)</formula>
    </cfRule>
  </conditionalFormatting>
  <conditionalFormatting sqref="E56:AH56">
    <cfRule type="expression" dxfId="187" priority="119">
      <formula>OR(E55&gt;0,E53&gt;0)</formula>
    </cfRule>
  </conditionalFormatting>
  <conditionalFormatting sqref="E46:AH46">
    <cfRule type="expression" dxfId="186" priority="116">
      <formula>OR(E48&gt;0,E49&gt;0)</formula>
    </cfRule>
    <cfRule type="expression" dxfId="185" priority="118">
      <formula>E$44="S"</formula>
    </cfRule>
  </conditionalFormatting>
  <conditionalFormatting sqref="E47:AH49">
    <cfRule type="expression" dxfId="184" priority="117">
      <formula>E$44="S"</formula>
    </cfRule>
  </conditionalFormatting>
  <conditionalFormatting sqref="E48:AH48">
    <cfRule type="expression" dxfId="183" priority="115">
      <formula>OR(E46&gt;0,E49&gt;0)</formula>
    </cfRule>
  </conditionalFormatting>
  <conditionalFormatting sqref="E49:AH49">
    <cfRule type="expression" dxfId="182" priority="114">
      <formula>OR(E48&gt;0,E46&gt;0)</formula>
    </cfRule>
  </conditionalFormatting>
  <conditionalFormatting sqref="E39:AG39">
    <cfRule type="expression" dxfId="181" priority="111">
      <formula>OR(E41&gt;0,E42&gt;0)</formula>
    </cfRule>
    <cfRule type="expression" dxfId="180" priority="113">
      <formula>E$37="S"</formula>
    </cfRule>
  </conditionalFormatting>
  <conditionalFormatting sqref="E40:AG42">
    <cfRule type="expression" dxfId="179" priority="112">
      <formula>E$37="S"</formula>
    </cfRule>
  </conditionalFormatting>
  <conditionalFormatting sqref="E41:AG41">
    <cfRule type="expression" dxfId="178" priority="110">
      <formula>OR(E39&gt;0,E42&gt;0)</formula>
    </cfRule>
  </conditionalFormatting>
  <conditionalFormatting sqref="E42:AG42">
    <cfRule type="expression" dxfId="177" priority="109">
      <formula>OR(E41&gt;0,E39&gt;0)</formula>
    </cfRule>
  </conditionalFormatting>
  <conditionalFormatting sqref="E32:AH32">
    <cfRule type="expression" dxfId="176" priority="106">
      <formula>OR(E34&gt;0,E35&gt;0)</formula>
    </cfRule>
    <cfRule type="expression" dxfId="175" priority="108">
      <formula>E$30="S"</formula>
    </cfRule>
  </conditionalFormatting>
  <conditionalFormatting sqref="E33:AH35">
    <cfRule type="expression" dxfId="174" priority="107">
      <formula>E$30="S"</formula>
    </cfRule>
  </conditionalFormatting>
  <conditionalFormatting sqref="E34:AH34">
    <cfRule type="expression" dxfId="173" priority="105">
      <formula>OR(E32&gt;0,E35&gt;0)</formula>
    </cfRule>
  </conditionalFormatting>
  <conditionalFormatting sqref="E35:AH35">
    <cfRule type="expression" dxfId="172" priority="104">
      <formula>OR(E34&gt;0,E32&gt;0)</formula>
    </cfRule>
  </conditionalFormatting>
  <conditionalFormatting sqref="E25:AG25">
    <cfRule type="expression" dxfId="171" priority="101">
      <formula>OR(E27&gt;0,E28&gt;0)</formula>
    </cfRule>
    <cfRule type="expression" dxfId="170" priority="103">
      <formula>E$23="S"</formula>
    </cfRule>
  </conditionalFormatting>
  <conditionalFormatting sqref="E26:AG28">
    <cfRule type="expression" dxfId="169" priority="102">
      <formula>E$23="S"</formula>
    </cfRule>
  </conditionalFormatting>
  <conditionalFormatting sqref="E27:AG27">
    <cfRule type="expression" dxfId="168" priority="100">
      <formula>OR(E25&gt;0,E28&gt;0)</formula>
    </cfRule>
  </conditionalFormatting>
  <conditionalFormatting sqref="E28:AG28">
    <cfRule type="expression" dxfId="167" priority="99">
      <formula>OR(E27&gt;0,E25&gt;0)</formula>
    </cfRule>
  </conditionalFormatting>
  <conditionalFormatting sqref="E18:AH18">
    <cfRule type="expression" dxfId="166" priority="96">
      <formula>OR(E20&gt;0,E21&gt;0)</formula>
    </cfRule>
    <cfRule type="expression" dxfId="165" priority="98">
      <formula>E$16="S"</formula>
    </cfRule>
  </conditionalFormatting>
  <conditionalFormatting sqref="E19:AH21">
    <cfRule type="expression" dxfId="164" priority="97">
      <formula>E$16="S"</formula>
    </cfRule>
  </conditionalFormatting>
  <conditionalFormatting sqref="E20:AH20">
    <cfRule type="expression" dxfId="163" priority="95">
      <formula>OR(E18&gt;0,E21&gt;0)</formula>
    </cfRule>
  </conditionalFormatting>
  <conditionalFormatting sqref="E21:AH21">
    <cfRule type="expression" dxfId="162" priority="94">
      <formula>OR(E18&gt;0,E20&gt;0)</formula>
    </cfRule>
  </conditionalFormatting>
  <conditionalFormatting sqref="D69">
    <cfRule type="expression" dxfId="161" priority="92">
      <formula>OR(D67&gt;0,D70&gt;0)</formula>
    </cfRule>
  </conditionalFormatting>
  <conditionalFormatting sqref="D70">
    <cfRule type="expression" dxfId="160" priority="91">
      <formula>OR(D69&gt;0,D69&gt;0)</formula>
    </cfRule>
  </conditionalFormatting>
  <conditionalFormatting sqref="D76">
    <cfRule type="expression" dxfId="159" priority="89">
      <formula>OR(D74&gt;0,D77&gt;0)</formula>
    </cfRule>
  </conditionalFormatting>
  <conditionalFormatting sqref="D77">
    <cfRule type="expression" dxfId="158" priority="88">
      <formula>OR(D76&gt;0,D74&gt;0)</formula>
    </cfRule>
  </conditionalFormatting>
  <conditionalFormatting sqref="D83">
    <cfRule type="expression" dxfId="157" priority="86">
      <formula>OR(D81&gt;0,D84&gt;0)</formula>
    </cfRule>
  </conditionalFormatting>
  <conditionalFormatting sqref="D84">
    <cfRule type="expression" dxfId="156" priority="85">
      <formula>OR(D83&gt;0,D81&gt;0)</formula>
    </cfRule>
  </conditionalFormatting>
  <conditionalFormatting sqref="D90">
    <cfRule type="expression" dxfId="155" priority="83">
      <formula>OR(D88&gt;0,D91&gt;0)</formula>
    </cfRule>
  </conditionalFormatting>
  <conditionalFormatting sqref="D91">
    <cfRule type="expression" dxfId="154" priority="82">
      <formula>OR(D88&gt;0,D88&gt;0)</formula>
    </cfRule>
  </conditionalFormatting>
  <conditionalFormatting sqref="D97">
    <cfRule type="expression" dxfId="153" priority="80">
      <formula>OR(D95&gt;0,D98&gt;0)</formula>
    </cfRule>
  </conditionalFormatting>
  <conditionalFormatting sqref="D98">
    <cfRule type="expression" dxfId="152" priority="79">
      <formula>OR(D97&gt;0,D95&gt;0)</formula>
    </cfRule>
  </conditionalFormatting>
  <conditionalFormatting sqref="E95:AH95">
    <cfRule type="expression" dxfId="151" priority="76">
      <formula>OR(E97&gt;0,E98&gt;0)</formula>
    </cfRule>
    <cfRule type="expression" dxfId="150" priority="78">
      <formula>E$93="S"</formula>
    </cfRule>
  </conditionalFormatting>
  <conditionalFormatting sqref="E96:AH98">
    <cfRule type="expression" dxfId="149" priority="77">
      <formula>E$93="S"</formula>
    </cfRule>
  </conditionalFormatting>
  <conditionalFormatting sqref="E97:AH97">
    <cfRule type="expression" dxfId="148" priority="75">
      <formula>OR(E95&gt;0,E98&gt;0)</formula>
    </cfRule>
  </conditionalFormatting>
  <conditionalFormatting sqref="E98:AH98">
    <cfRule type="expression" dxfId="147" priority="74">
      <formula>OR(E97&gt;0,E95&gt;0)</formula>
    </cfRule>
  </conditionalFormatting>
  <conditionalFormatting sqref="E88:AG88">
    <cfRule type="expression" dxfId="146" priority="71">
      <formula>OR(E90&gt;0,E91&gt;0)</formula>
    </cfRule>
    <cfRule type="expression" dxfId="145" priority="73">
      <formula>E$86="S"</formula>
    </cfRule>
  </conditionalFormatting>
  <conditionalFormatting sqref="E89:AG91">
    <cfRule type="expression" dxfId="144" priority="72">
      <formula>E$86="S"</formula>
    </cfRule>
  </conditionalFormatting>
  <conditionalFormatting sqref="E90:AG90">
    <cfRule type="expression" dxfId="143" priority="70">
      <formula>OR(E88&gt;0,E91&gt;0)</formula>
    </cfRule>
  </conditionalFormatting>
  <conditionalFormatting sqref="E91:AG91">
    <cfRule type="expression" dxfId="142" priority="69">
      <formula>OR(E88&gt;0,E88&gt;0)</formula>
    </cfRule>
  </conditionalFormatting>
  <conditionalFormatting sqref="E81:AH81">
    <cfRule type="expression" dxfId="141" priority="66">
      <formula>OR(E83&gt;0,E84&gt;0)</formula>
    </cfRule>
    <cfRule type="expression" dxfId="140" priority="68">
      <formula>E$79="S"</formula>
    </cfRule>
  </conditionalFormatting>
  <conditionalFormatting sqref="E82:AH84">
    <cfRule type="expression" dxfId="139" priority="67">
      <formula>E$79="S"</formula>
    </cfRule>
  </conditionalFormatting>
  <conditionalFormatting sqref="E83:AH83">
    <cfRule type="expression" dxfId="138" priority="65">
      <formula>OR(E81&gt;0,E84&gt;0)</formula>
    </cfRule>
  </conditionalFormatting>
  <conditionalFormatting sqref="E84:AH84">
    <cfRule type="expression" dxfId="137" priority="64">
      <formula>OR(E83&gt;0,E81&gt;0)</formula>
    </cfRule>
  </conditionalFormatting>
  <conditionalFormatting sqref="E74:AG74">
    <cfRule type="expression" dxfId="136" priority="61">
      <formula>OR(E76&gt;0,E77&gt;0)</formula>
    </cfRule>
    <cfRule type="expression" dxfId="135" priority="63">
      <formula>E$72="S"</formula>
    </cfRule>
  </conditionalFormatting>
  <conditionalFormatting sqref="E75:AG77">
    <cfRule type="expression" dxfId="134" priority="62">
      <formula>E$72="S"</formula>
    </cfRule>
  </conditionalFormatting>
  <conditionalFormatting sqref="E76:AG76">
    <cfRule type="expression" dxfId="133" priority="60">
      <formula>OR(E74&gt;0,E77&gt;0)</formula>
    </cfRule>
  </conditionalFormatting>
  <conditionalFormatting sqref="E77:AG77">
    <cfRule type="expression" dxfId="132" priority="59">
      <formula>OR(E76&gt;0,E74&gt;0)</formula>
    </cfRule>
  </conditionalFormatting>
  <conditionalFormatting sqref="E67:AH67">
    <cfRule type="expression" dxfId="131" priority="56">
      <formula>OR(E69&gt;0,E70&gt;0)</formula>
    </cfRule>
    <cfRule type="expression" dxfId="130" priority="58">
      <formula>E$65="S"</formula>
    </cfRule>
  </conditionalFormatting>
  <conditionalFormatting sqref="E68:AH70">
    <cfRule type="expression" dxfId="129" priority="57">
      <formula>E$65="S"</formula>
    </cfRule>
  </conditionalFormatting>
  <conditionalFormatting sqref="E69:AH69">
    <cfRule type="expression" dxfId="128" priority="55">
      <formula>OR(E67&gt;0,E70&gt;0)</formula>
    </cfRule>
  </conditionalFormatting>
  <conditionalFormatting sqref="E70:AH70">
    <cfRule type="expression" dxfId="127" priority="54">
      <formula>OR(E69&gt;0,E69&gt;0)</formula>
    </cfRule>
  </conditionalFormatting>
  <conditionalFormatting sqref="AD105:AE105">
    <cfRule type="cellIs" dxfId="126" priority="52" operator="notEqual">
      <formula>$AC$7</formula>
    </cfRule>
    <cfRule type="cellIs" dxfId="125" priority="53" operator="equal">
      <formula>$AC$7</formula>
    </cfRule>
  </conditionalFormatting>
  <conditionalFormatting sqref="B109:C110">
    <cfRule type="expression" dxfId="124" priority="45">
      <formula>$AC$2&lt;&gt;"HIGH"</formula>
    </cfRule>
  </conditionalFormatting>
  <conditionalFormatting sqref="U7:V8">
    <cfRule type="expression" dxfId="123" priority="43">
      <formula>$U$5&gt;1</formula>
    </cfRule>
    <cfRule type="expression" dxfId="122" priority="44">
      <formula>$U$5=""</formula>
    </cfRule>
  </conditionalFormatting>
  <conditionalFormatting sqref="U5:V5">
    <cfRule type="containsBlanks" dxfId="121" priority="42">
      <formula>LEN(TRIM(U5))=0</formula>
    </cfRule>
  </conditionalFormatting>
  <conditionalFormatting sqref="D13">
    <cfRule type="expression" dxfId="120" priority="41">
      <formula>OR(D10&gt;0,D12&gt;0)</formula>
    </cfRule>
  </conditionalFormatting>
  <conditionalFormatting sqref="E13:AH13">
    <cfRule type="expression" dxfId="119" priority="40">
      <formula>OR(E10&gt;0,E12&gt;0)</formula>
    </cfRule>
  </conditionalFormatting>
  <conditionalFormatting sqref="AH2:AI2">
    <cfRule type="expression" dxfId="118" priority="21">
      <formula>OR(AND($AD$1="Original",$AE$4=FALSE),AND($AD$1="",$AE$4=FALSE))</formula>
    </cfRule>
  </conditionalFormatting>
  <conditionalFormatting sqref="AH3">
    <cfRule type="containsBlanks" dxfId="117" priority="20">
      <formula>LEN(TRIM(AH3))=0</formula>
    </cfRule>
  </conditionalFormatting>
  <conditionalFormatting sqref="AH3:AI3">
    <cfRule type="expression" dxfId="116" priority="19">
      <formula>OR(AND($AD$1="Original",$AE$4=FALSE),AND($AD$1="",$AE$4=FALSE))</formula>
    </cfRule>
  </conditionalFormatting>
  <conditionalFormatting sqref="AF2:AF3">
    <cfRule type="expression" dxfId="115" priority="18">
      <formula>OR(AND($AD$1="Original",$AE$4=TRUE),$AD$1="Revision 1",$AE$4=TRUE,$AD$1="Final Revision")</formula>
    </cfRule>
  </conditionalFormatting>
  <conditionalFormatting sqref="X4:AA4">
    <cfRule type="expression" dxfId="114" priority="2642">
      <formula>$O$5&gt;1</formula>
    </cfRule>
    <cfRule type="expression" dxfId="113" priority="2643">
      <formula>$O$5=""</formula>
    </cfRule>
  </conditionalFormatting>
  <conditionalFormatting sqref="AD106:AE106">
    <cfRule type="cellIs" dxfId="112" priority="2769" operator="notEqual">
      <formula>$AD$5</formula>
    </cfRule>
  </conditionalFormatting>
  <conditionalFormatting sqref="O7">
    <cfRule type="expression" dxfId="111" priority="11">
      <formula>$O$5&gt;1</formula>
    </cfRule>
    <cfRule type="expression" dxfId="110" priority="12">
      <formula>$O$5=""</formula>
    </cfRule>
  </conditionalFormatting>
  <conditionalFormatting sqref="AA5:AB7">
    <cfRule type="expression" dxfId="109" priority="9">
      <formula>OR(AND($AD$1="Original",$AE$4=FALSE),AND($AD$1="",$AE$4=FALSE))</formula>
    </cfRule>
  </conditionalFormatting>
  <conditionalFormatting sqref="AA5:AB5">
    <cfRule type="expression" dxfId="108" priority="8">
      <formula>OR(AND($AD$1="Original",$AE$4=FALSE),AND($AD$1="",$AE$4=FALSE))</formula>
    </cfRule>
  </conditionalFormatting>
  <conditionalFormatting sqref="X5:Y7">
    <cfRule type="expression" dxfId="107" priority="7">
      <formula>OR(AND($AD$1="Original",$AE$4=FALSE),AND($AD$1="",$AE$4=FALSE))</formula>
    </cfRule>
  </conditionalFormatting>
  <conditionalFormatting sqref="X5:Y5">
    <cfRule type="expression" dxfId="106" priority="6">
      <formula>OR(AND($AD$1="Original",$AE$4=FALSE),AND($AD$1="",$AE$4=FALSE))</formula>
    </cfRule>
  </conditionalFormatting>
  <conditionalFormatting sqref="D24:AG24 D31:AH31 D38:AG38 D45:AH45 D52:AH52 D66:AH66 D73:AG73 D80:AH80 D87:AG87 D94:AH94 D17:AH17 D10:AH10 D59:AE59">
    <cfRule type="expression" dxfId="105" priority="3">
      <formula>VLOOKUP(D10,INDIRECT("Sheet1!$V$1:$AA$398"),MATCH($O$5,INDIRECT("Sheet1!$V$1:$AA$1"),0),FALSE)="HW"</formula>
    </cfRule>
    <cfRule type="expression" dxfId="104" priority="2670">
      <formula>VLOOKUP(D10,INDIRECT("Sheet1!$V$1:$AA$398"),MATCH($O$5,INDIRECT("Sheet1!$V$1:$AA$1"),0),FALSE)="PD"</formula>
    </cfRule>
  </conditionalFormatting>
  <conditionalFormatting sqref="D11:AH14">
    <cfRule type="expression" dxfId="103" priority="2683">
      <formula>VLOOKUP(D$10,INDIRECT("Sheet1!$O$1:$T$398"),MATCH($O$5,INDIRECT("Sheet1!$O$1:$T$1"),0),FALSE)="Holiday"</formula>
    </cfRule>
    <cfRule type="expression" dxfId="102" priority="2684">
      <formula>VLOOKUP(D$10,INDIRECT("Sheet1!$O$1:$T$398"),MATCH($O$5,INDIRECT("Sheet1!$O$1:$T$1"),0),FALSE)="Non Contract"</formula>
    </cfRule>
  </conditionalFormatting>
  <conditionalFormatting sqref="D24:AG24 D31:AH31 D38:AG38 D45:AH45 D52:AH52 D66:AH66 D73:AG73 D80:AH80 D87:AG87 D94:AH94 D17:AH17 D10:AH10 D59:AE59">
    <cfRule type="expression" dxfId="101" priority="2709">
      <formula>VLOOKUP(D10,INDIRECT("Sheet1!$O$1:$T$398"),MATCH($O$5,INDIRECT("Sheet1!$O$1:$T$1"),0),FALSE)="Non Contract"</formula>
    </cfRule>
    <cfRule type="expression" dxfId="100" priority="2710">
      <formula>IF(VLOOKUP($P$2,INDIRECT("Sheet1!$AM:$AN"),2,FALSE)="High",VLOOKUP(D10,INDIRECT("Sheet1!$V:$AC"),8,FALSE)="b")</formula>
    </cfRule>
    <cfRule type="expression" dxfId="99" priority="2711">
      <formula>IF(VLOOKUP($P$2,INDIRECT("Sheet1!$AM:$AN"),2,FALSE)="High",VLOOKUP(D10,INDIRECT("Sheet1!$V:$AC"),8,FALSE)="a")</formula>
    </cfRule>
    <cfRule type="expression" dxfId="98" priority="2712">
      <formula>AND($AC$2="Middle",VLOOKUP(D10,INDIRECT("Sheet1!$V$1:$AA$398"),MATCH($O$5,INDIRECT("Sheet1!$V$1:$AA$1"),0),FALSE)="MPTC")</formula>
    </cfRule>
    <cfRule type="expression" dxfId="97" priority="2713">
      <formula>VLOOKUP(D10,INDIRECT("Sheet1!$V$1:$AA$398"),MATCH($O$5,INDIRECT("Sheet1!$V$1:$AA$1"),0),FALSE)="PTC"</formula>
    </cfRule>
    <cfRule type="expression" dxfId="96" priority="2714">
      <formula>VLOOKUP(D10,INDIRECT("Sheet1!$O$1:$T$398"),MATCH($O$5,INDIRECT("Sheet1!$O$1:$T$1"),0),FALSE)="Holiday"</formula>
    </cfRule>
  </conditionalFormatting>
  <conditionalFormatting sqref="AF106">
    <cfRule type="cellIs" dxfId="95" priority="4" operator="notEqual">
      <formula>"CHAR(252)"</formula>
    </cfRule>
    <cfRule type="cellIs" dxfId="94" priority="5" operator="equal">
      <formula>"CHAR(252)"</formula>
    </cfRule>
  </conditionalFormatting>
  <conditionalFormatting sqref="AF60:AF63">
    <cfRule type="expression" dxfId="67" priority="2">
      <formula>AF$23="S"</formula>
    </cfRule>
  </conditionalFormatting>
  <conditionalFormatting sqref="AF60:AF63">
    <cfRule type="expression" dxfId="66" priority="1">
      <formula>AF$59=""</formula>
    </cfRule>
  </conditionalFormatting>
  <dataValidations count="4">
    <dataValidation allowBlank="1" showInputMessage="1" showErrorMessage="1" promptTitle="Signatures" prompt="Print, sign and return original calendar to Human Resources.  Electronic or faxed copies will not be accepted." sqref="C115 X115" xr:uid="{00000000-0002-0000-0100-000000000000}"/>
    <dataValidation type="decimal" operator="lessThanOrEqual" allowBlank="1" showInputMessage="1" showErrorMessage="1" sqref="R5:S5" xr:uid="{00000000-0002-0000-0100-000001000000}">
      <formula1>1</formula1>
    </dataValidation>
    <dataValidation allowBlank="1" showErrorMessage="1" sqref="D9:AH10 D15 E12:AH15 D16:AH98 AI9:AI98" xr:uid="{00000000-0002-0000-0100-000002000000}"/>
    <dataValidation allowBlank="1" showInputMessage="1" showErrorMessage="1" promptTitle="Date Format" prompt="MM/DD/YYYY" sqref="AF2 AH2" xr:uid="{00000000-0002-0000-0100-000003000000}"/>
  </dataValidations>
  <pageMargins left="0.4" right="0.25" top="0.75" bottom="0.75" header="0.3" footer="0.3"/>
  <pageSetup scale="54" fitToHeight="2" orientation="portrait" r:id="rId1"/>
  <headerFooter>
    <oddHeader>&amp;L&amp;G&amp;C&amp;"-,Bold"&amp;14 2024-2025&amp;K000000 Flex/Modified
Personnel Calendar</oddHeader>
    <firstHeader xml:space="preserve">&amp;L&amp;G&amp;C&amp;"-,Bold"&amp;12 Flex/Modified Calendar &amp;"-,Regular" 
&amp;"-,Bold"&amp;KC00000HOURLY&amp;R&amp;"-,Bold"&amp;10 &amp;K04+000177/185 Days&amp;"-,Regular"&amp;K01+000
</firstHeader>
    <firstFooter>&amp;R&amp;D</firstFooter>
  </headerFooter>
  <rowBreaks count="1" manualBreakCount="1">
    <brk id="64" max="35"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locked="0" defaultSize="0" autoFill="0" autoLine="0" autoPict="0">
                <anchor moveWithCells="1">
                  <from>
                    <xdr:col>25</xdr:col>
                    <xdr:colOff>57150</xdr:colOff>
                    <xdr:row>1</xdr:row>
                    <xdr:rowOff>95250</xdr:rowOff>
                  </from>
                  <to>
                    <xdr:col>30</xdr:col>
                    <xdr:colOff>171450</xdr:colOff>
                    <xdr:row>1</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644" id="{87DA8C95-C51F-41B5-B493-74EC91820D23}">
            <xm:f>VLOOKUP(D10,Sheet1!$O$1:$T$398,MATCH($O$5,Sheet1!$O$1:$T$1,0),FALSE)="Non Contract"</xm:f>
            <x14:dxf>
              <fill>
                <patternFill>
                  <bgColor theme="0" tint="-0.24994659260841701"/>
                </patternFill>
              </fill>
            </x14:dxf>
          </x14:cfRule>
          <x14:cfRule type="expression" priority="2645" id="{4F4CDB41-6941-4C94-87B6-F5DDF0302963}">
            <xm:f>VLOOKUP(D10,Sheet1!$O$1:$T$398,MATCH($O$5,Sheet1!$O$1:$T$1,0),FALSE)="Holiday"</xm:f>
            <x14:dxf>
              <font>
                <color auto="1"/>
              </font>
              <fill>
                <patternFill>
                  <bgColor rgb="FFFF99FF"/>
                </patternFill>
              </fill>
            </x14:dxf>
          </x14:cfRule>
          <xm:sqref>D9:AH9 D16:AH16 D23:AG23 D30:AH30 D37:AG37 D44:AH44 D51:AH51 D58:AF58 D65:AH65 D72:AG72 D79:AH79 D86:AG86 D93:AH93</xm:sqref>
        </x14:conditionalFormatting>
        <x14:conditionalFormatting xmlns:xm="http://schemas.microsoft.com/office/excel/2006/main">
          <x14:cfRule type="expression" priority="2685" id="{AFEC0632-ECB4-45CD-814E-9E9CE301D022}">
            <xm:f>VLOOKUP(D$17,Sheet1!$O$1:$T$398,MATCH($O$5,Sheet1!$O$1:$T$1,0),FALSE)="Holiday"</xm:f>
            <x14:dxf>
              <fill>
                <patternFill>
                  <bgColor rgb="FFFF99FF"/>
                </patternFill>
              </fill>
            </x14:dxf>
          </x14:cfRule>
          <x14:cfRule type="expression" priority="2686" id="{34216E29-2D03-43B0-AF35-2C461E6BE2D5}">
            <xm:f>VLOOKUP(D$17,Sheet1!$O$1:$T$398,MATCH($O$5,Sheet1!$O$1:$T$1,0),FALSE)="Non Contract"</xm:f>
            <x14:dxf>
              <fill>
                <patternFill>
                  <bgColor theme="0" tint="-0.24994659260841701"/>
                </patternFill>
              </fill>
            </x14:dxf>
          </x14:cfRule>
          <xm:sqref>D18:AH21</xm:sqref>
        </x14:conditionalFormatting>
        <x14:conditionalFormatting xmlns:xm="http://schemas.microsoft.com/office/excel/2006/main">
          <x14:cfRule type="expression" priority="2687" id="{78F15172-C5AA-4199-AE1F-ED73C70F11DD}">
            <xm:f>VLOOKUP(D$24,Sheet1!$O$1:$T$398,MATCH($O$5,Sheet1!$O$1:$T$1,0),FALSE)="Holiday"</xm:f>
            <x14:dxf>
              <fill>
                <patternFill>
                  <bgColor rgb="FFFF99FF"/>
                </patternFill>
              </fill>
            </x14:dxf>
          </x14:cfRule>
          <x14:cfRule type="expression" priority="2688" id="{53D5213F-2B6A-4AC9-984B-9B361801C37F}">
            <xm:f>VLOOKUP(D$24,Sheet1!$O$1:$T$398,MATCH($O$5,Sheet1!$O$1:$T$1,0),FALSE)="Non Contract"</xm:f>
            <x14:dxf>
              <fill>
                <patternFill>
                  <bgColor theme="0" tint="-0.24994659260841701"/>
                </patternFill>
              </fill>
            </x14:dxf>
          </x14:cfRule>
          <xm:sqref>D25:AG28</xm:sqref>
        </x14:conditionalFormatting>
        <x14:conditionalFormatting xmlns:xm="http://schemas.microsoft.com/office/excel/2006/main">
          <x14:cfRule type="expression" priority="2689" id="{E35B5DDD-FED2-4DD3-8CC2-869C046D4420}">
            <xm:f>VLOOKUP(D$31,Sheet1!$O$1:$T$398,MATCH($O$5,Sheet1!$O$1:$T$1,0),FALSE)="Holiday"</xm:f>
            <x14:dxf>
              <fill>
                <patternFill>
                  <bgColor rgb="FFFF99FF"/>
                </patternFill>
              </fill>
            </x14:dxf>
          </x14:cfRule>
          <x14:cfRule type="expression" priority="2690" id="{D8A2F5BE-266D-42D8-BDCD-405F85CAD4E2}">
            <xm:f>VLOOKUP(D$31,Sheet1!$O$1:$T$398,MATCH($O$5,Sheet1!$O$1:$T$1,0),FALSE)="Non Contract"</xm:f>
            <x14:dxf>
              <fill>
                <patternFill>
                  <bgColor theme="0" tint="-0.24994659260841701"/>
                </patternFill>
              </fill>
            </x14:dxf>
          </x14:cfRule>
          <xm:sqref>D32:AH35</xm:sqref>
        </x14:conditionalFormatting>
        <x14:conditionalFormatting xmlns:xm="http://schemas.microsoft.com/office/excel/2006/main">
          <x14:cfRule type="expression" priority="2691" id="{37F3600E-EED2-49CF-AC24-6719D0896500}">
            <xm:f>VLOOKUP(D$38,Sheet1!$O$1:$T$398,MATCH($O$5,Sheet1!$O$1:$T$1,0),FALSE)="Holiday"</xm:f>
            <x14:dxf>
              <fill>
                <patternFill>
                  <bgColor rgb="FFFF99FF"/>
                </patternFill>
              </fill>
            </x14:dxf>
          </x14:cfRule>
          <x14:cfRule type="expression" priority="2692" id="{F5AAB143-C36C-4E81-9379-504191AECBCA}">
            <xm:f>VLOOKUP(D$38,Sheet1!$O$1:$T$398,MATCH($O$5,Sheet1!$O$1:$T$1,0),FALSE)="Non Contract"</xm:f>
            <x14:dxf>
              <fill>
                <patternFill>
                  <bgColor theme="0" tint="-0.24994659260841701"/>
                </patternFill>
              </fill>
            </x14:dxf>
          </x14:cfRule>
          <xm:sqref>D39:AG42</xm:sqref>
        </x14:conditionalFormatting>
        <x14:conditionalFormatting xmlns:xm="http://schemas.microsoft.com/office/excel/2006/main">
          <x14:cfRule type="expression" priority="2693" id="{A008EB25-41B4-4D8D-A326-6C074A93174F}">
            <xm:f>VLOOKUP(D$45,Sheet1!$O$1:$T$398,MATCH($O$5,Sheet1!$O$1:$T$1,0),FALSE)="Holiday"</xm:f>
            <x14:dxf>
              <fill>
                <patternFill>
                  <bgColor rgb="FFFF99FF"/>
                </patternFill>
              </fill>
            </x14:dxf>
          </x14:cfRule>
          <x14:cfRule type="expression" priority="2694" id="{89143C09-835A-4FB1-840B-977B7096F62F}">
            <xm:f>VLOOKUP(D$45,Sheet1!$O$1:$T$398,MATCH($O$5,Sheet1!$O$1:$T$1,0),FALSE)="Non Contract"</xm:f>
            <x14:dxf>
              <fill>
                <patternFill>
                  <bgColor theme="0" tint="-0.24994659260841701"/>
                </patternFill>
              </fill>
            </x14:dxf>
          </x14:cfRule>
          <xm:sqref>D46:AH49</xm:sqref>
        </x14:conditionalFormatting>
        <x14:conditionalFormatting xmlns:xm="http://schemas.microsoft.com/office/excel/2006/main">
          <x14:cfRule type="expression" priority="2695" id="{B168BB7F-1CBC-4D31-A5F6-AC732A109579}">
            <xm:f>VLOOKUP(D$52,Sheet1!$O$1:$T$398,MATCH($O$5,Sheet1!$O$1:$T$1,0),FALSE)="Holiday"</xm:f>
            <x14:dxf>
              <fill>
                <patternFill>
                  <bgColor rgb="FFFF99FF"/>
                </patternFill>
              </fill>
            </x14:dxf>
          </x14:cfRule>
          <x14:cfRule type="expression" priority="2696" id="{0B5A4392-76F5-4C85-B441-BD41A8431FFF}">
            <xm:f>VLOOKUP(D$52,Sheet1!$O$1:$T$398,MATCH($O$5,Sheet1!$O$1:$T$1,0),FALSE)="Non Contract"</xm:f>
            <x14:dxf>
              <fill>
                <patternFill>
                  <bgColor theme="0" tint="-0.24994659260841701"/>
                </patternFill>
              </fill>
            </x14:dxf>
          </x14:cfRule>
          <xm:sqref>D53:AH56</xm:sqref>
        </x14:conditionalFormatting>
        <x14:conditionalFormatting xmlns:xm="http://schemas.microsoft.com/office/excel/2006/main">
          <x14:cfRule type="expression" priority="2697" id="{58AA987D-6248-4749-8DA1-E939EEAF900E}">
            <xm:f>VLOOKUP(D$59,Sheet1!$O$1:$T$398,MATCH($O$5,Sheet1!$O$1:$T$1,0),FALSE)="Holiday"</xm:f>
            <x14:dxf>
              <fill>
                <patternFill>
                  <bgColor rgb="FFFF99FF"/>
                </patternFill>
              </fill>
            </x14:dxf>
          </x14:cfRule>
          <x14:cfRule type="expression" priority="2698" id="{E314A12C-3131-46F0-9B51-C41270E8288F}">
            <xm:f>VLOOKUP(D$59,Sheet1!$O$1:$T$398,MATCH($O$5,Sheet1!$O$1:$T$1,0),FALSE)="Non Contract"</xm:f>
            <x14:dxf>
              <fill>
                <patternFill>
                  <bgColor theme="0" tint="-0.24994659260841701"/>
                </patternFill>
              </fill>
            </x14:dxf>
          </x14:cfRule>
          <xm:sqref>D60:AE63</xm:sqref>
        </x14:conditionalFormatting>
        <x14:conditionalFormatting xmlns:xm="http://schemas.microsoft.com/office/excel/2006/main">
          <x14:cfRule type="expression" priority="2699" id="{2067E1D3-ABDF-4EC2-B813-3A68CBF6806D}">
            <xm:f>VLOOKUP(D$66,Sheet1!$O$1:$T$398,MATCH($O$5,Sheet1!$O$1:$T$1,0),FALSE)="Holiday"</xm:f>
            <x14:dxf>
              <fill>
                <patternFill>
                  <bgColor rgb="FFFF99FF"/>
                </patternFill>
              </fill>
            </x14:dxf>
          </x14:cfRule>
          <x14:cfRule type="expression" priority="2700" id="{1E2D62C3-F95E-48FF-B41D-027639888CCE}">
            <xm:f>VLOOKUP(D$66,Sheet1!$O$1:$T$398,MATCH($O$5,Sheet1!$O$1:$T$1,0),FALSE)="Non Contract"</xm:f>
            <x14:dxf>
              <fill>
                <patternFill>
                  <bgColor theme="0" tint="-0.24994659260841701"/>
                </patternFill>
              </fill>
            </x14:dxf>
          </x14:cfRule>
          <xm:sqref>D67:AH70</xm:sqref>
        </x14:conditionalFormatting>
        <x14:conditionalFormatting xmlns:xm="http://schemas.microsoft.com/office/excel/2006/main">
          <x14:cfRule type="expression" priority="2701" id="{23032752-CE00-4976-93E9-7CD17DD5E8A3}">
            <xm:f>VLOOKUP(D$73,Sheet1!$O$1:$T$398,MATCH($O$5,Sheet1!$O$1:$T$1,0),FALSE)="Holiday"</xm:f>
            <x14:dxf>
              <fill>
                <patternFill>
                  <bgColor rgb="FFFF99FF"/>
                </patternFill>
              </fill>
            </x14:dxf>
          </x14:cfRule>
          <x14:cfRule type="expression" priority="2702" id="{F8577E88-B288-4B37-8143-3B28A8390846}">
            <xm:f>VLOOKUP(D$73,Sheet1!$O$1:$T$398,MATCH($O$5,Sheet1!$O$1:$T$1,0),FALSE)="Non Contract"</xm:f>
            <x14:dxf>
              <fill>
                <patternFill>
                  <bgColor theme="0" tint="-0.24994659260841701"/>
                </patternFill>
              </fill>
            </x14:dxf>
          </x14:cfRule>
          <xm:sqref>D74:AG77</xm:sqref>
        </x14:conditionalFormatting>
        <x14:conditionalFormatting xmlns:xm="http://schemas.microsoft.com/office/excel/2006/main">
          <x14:cfRule type="expression" priority="2703" id="{78F812D0-0BED-4191-BF99-ADFFA23B5CBB}">
            <xm:f>VLOOKUP(D$80,Sheet1!$O$1:$T$398,MATCH($O$5,Sheet1!$O$1:$T$1,0),FALSE)="Holiday"</xm:f>
            <x14:dxf>
              <fill>
                <patternFill>
                  <bgColor rgb="FFFF99FF"/>
                </patternFill>
              </fill>
            </x14:dxf>
          </x14:cfRule>
          <x14:cfRule type="expression" priority="2704" id="{7DF438C7-D41A-4647-B445-F4A900DCB0A3}">
            <xm:f>VLOOKUP(D$80,Sheet1!$O$1:$T$398,MATCH($O$5,Sheet1!$O$1:$T$1,0),FALSE)="Non Contract"</xm:f>
            <x14:dxf>
              <fill>
                <patternFill>
                  <bgColor theme="0" tint="-0.24994659260841701"/>
                </patternFill>
              </fill>
            </x14:dxf>
          </x14:cfRule>
          <xm:sqref>D81:AH84</xm:sqref>
        </x14:conditionalFormatting>
        <x14:conditionalFormatting xmlns:xm="http://schemas.microsoft.com/office/excel/2006/main">
          <x14:cfRule type="expression" priority="2705" id="{B0FB0F34-B16A-4D10-B343-78E73AE1FB4A}">
            <xm:f>VLOOKUP(D$87,Sheet1!$O$1:$T$398,MATCH($O$5,Sheet1!$O$1:$T$1,0),FALSE)="Holiday"</xm:f>
            <x14:dxf>
              <fill>
                <patternFill>
                  <bgColor rgb="FFFF99FF"/>
                </patternFill>
              </fill>
            </x14:dxf>
          </x14:cfRule>
          <x14:cfRule type="expression" priority="2706" id="{BA841C68-B345-4C7F-923B-9EFAE4208D78}">
            <xm:f>VLOOKUP(D$87,Sheet1!$O$1:$T$398,MATCH($O$5,Sheet1!$O$1:$T$1,0),FALSE)="Non Contract"</xm:f>
            <x14:dxf>
              <fill>
                <patternFill>
                  <bgColor theme="0" tint="-0.24994659260841701"/>
                </patternFill>
              </fill>
            </x14:dxf>
          </x14:cfRule>
          <xm:sqref>D88:AG91</xm:sqref>
        </x14:conditionalFormatting>
        <x14:conditionalFormatting xmlns:xm="http://schemas.microsoft.com/office/excel/2006/main">
          <x14:cfRule type="expression" priority="2707" id="{28DD19F6-4089-4EF5-BE15-2456B111492A}">
            <xm:f>VLOOKUP(D$94,Sheet1!$O$1:$T$398,MATCH($O$5,Sheet1!$O$1:$T$1,0),FALSE)="Holiday"</xm:f>
            <x14:dxf>
              <fill>
                <patternFill>
                  <bgColor rgb="FFFF99FF"/>
                </patternFill>
              </fill>
            </x14:dxf>
          </x14:cfRule>
          <x14:cfRule type="expression" priority="2708" id="{70EF8B19-00BD-4EB5-9F73-4BDBD7661D74}">
            <xm:f>VLOOKUP(D$94,Sheet1!$O$1:$T$398,MATCH($O$5,Sheet1!$O$1:$T$1,0),FALSE)="Non Contract"</xm:f>
            <x14:dxf>
              <fill>
                <patternFill>
                  <bgColor theme="0" tint="-0.24994659260841701"/>
                </patternFill>
              </fill>
            </x14:dxf>
          </x14:cfRule>
          <xm:sqref>D95:AH98</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errorTitle="Error" error="Please use dropdown arrow to the right." xr:uid="{00000000-0002-0000-0100-000004000000}">
          <x14:formula1>
            <xm:f>Sheet1!$C$1:$C$3</xm:f>
          </x14:formula1>
          <xm:sqref>AD1:AI1</xm:sqref>
        </x14:dataValidation>
        <x14:dataValidation type="list" allowBlank="1" showInputMessage="1" showErrorMessage="1" xr:uid="{00000000-0002-0000-0100-000005000000}">
          <x14:formula1>
            <xm:f>Sheet1!$F$4:$F$15</xm:f>
          </x14:formula1>
          <xm:sqref>F1:I1</xm:sqref>
        </x14:dataValidation>
        <x14:dataValidation type="list" allowBlank="1" showInputMessage="1" showErrorMessage="1" errorTitle="Error" error="Please use dropdown arrow to the right." xr:uid="{00000000-0002-0000-0100-000007000000}">
          <x14:formula1>
            <xm:f>Sheet1!$Q$1:$T$1</xm:f>
          </x14:formula1>
          <xm:sqref>O5:P5</xm:sqref>
        </x14:dataValidation>
        <x14:dataValidation type="list" allowBlank="1" showInputMessage="1" showErrorMessage="1" errorTitle="Error" error="Please use dropdown arrow to the right." xr:uid="{98A7EF97-21D8-476F-9CEA-4CEAD40F7429}">
          <x14:formula1>
            <xm:f>Sheet1!$AM$2:$AM$115</xm:f>
          </x14:formula1>
          <xm:sqref>P2:Y2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400"/>
  <sheetViews>
    <sheetView topLeftCell="U1" workbookViewId="0">
      <selection activeCell="AK1" sqref="AK1:AN114"/>
    </sheetView>
  </sheetViews>
  <sheetFormatPr defaultRowHeight="15" x14ac:dyDescent="0.25"/>
  <cols>
    <col min="1" max="1" width="4" bestFit="1" customWidth="1"/>
    <col min="3" max="3" width="13.42578125" bestFit="1" customWidth="1"/>
    <col min="6" max="6" width="11.28515625" bestFit="1" customWidth="1"/>
    <col min="7" max="7" width="6.85546875" bestFit="1" customWidth="1"/>
    <col min="8" max="8" width="5.140625" bestFit="1" customWidth="1"/>
    <col min="9" max="9" width="10.7109375" bestFit="1" customWidth="1"/>
    <col min="10" max="10" width="9.7109375" bestFit="1" customWidth="1"/>
    <col min="11" max="11" width="20.140625" bestFit="1" customWidth="1"/>
    <col min="12" max="12" width="2" bestFit="1" customWidth="1"/>
    <col min="13" max="13" width="2.85546875" bestFit="1" customWidth="1"/>
    <col min="15" max="15" width="10.7109375" style="177" bestFit="1" customWidth="1"/>
    <col min="16" max="16" width="14.7109375" style="177" bestFit="1" customWidth="1"/>
    <col min="17" max="17" width="15.85546875" style="26" customWidth="1"/>
    <col min="18" max="18" width="16" customWidth="1"/>
    <col min="19" max="21" width="12.5703125" customWidth="1"/>
    <col min="22" max="22" width="10.7109375" style="177" customWidth="1"/>
    <col min="23" max="23" width="14.7109375" style="177" customWidth="1"/>
    <col min="24" max="24" width="15.85546875" customWidth="1"/>
    <col min="25" max="25" width="16" customWidth="1"/>
    <col min="26" max="26" width="11.140625" customWidth="1"/>
    <col min="27" max="27" width="9.7109375" customWidth="1"/>
    <col min="28" max="28" width="10.42578125" bestFit="1" customWidth="1"/>
    <col min="29" max="29" width="7.28515625" bestFit="1" customWidth="1"/>
    <col min="30" max="30" width="10.7109375" style="177" bestFit="1" customWidth="1"/>
    <col min="31" max="31" width="15.85546875" style="177" customWidth="1"/>
    <col min="32" max="32" width="16" style="177" customWidth="1"/>
    <col min="33" max="33" width="11.140625" style="177" customWidth="1"/>
    <col min="34" max="34" width="9.7109375" style="177" customWidth="1"/>
    <col min="35" max="35" width="10.42578125" style="177" bestFit="1" customWidth="1"/>
    <col min="36" max="36" width="10.42578125" customWidth="1"/>
    <col min="37" max="37" width="5.5703125" style="125" customWidth="1"/>
    <col min="38" max="38" width="18.85546875" style="125" customWidth="1"/>
    <col min="39" max="39" width="34.5703125" style="125" customWidth="1"/>
    <col min="40" max="40" width="11.140625" customWidth="1"/>
  </cols>
  <sheetData>
    <row r="1" spans="1:40" ht="30" x14ac:dyDescent="0.25">
      <c r="A1" s="177">
        <v>179</v>
      </c>
      <c r="C1" s="177" t="s">
        <v>62</v>
      </c>
      <c r="F1" s="291" t="s">
        <v>43</v>
      </c>
      <c r="G1" s="291"/>
      <c r="H1" s="177">
        <f>VLOOKUP('Flex-Modified Calendar'!F1,F4:H15,2,FALSE)</f>
        <v>2024</v>
      </c>
      <c r="I1" s="177"/>
      <c r="J1" s="177" t="s">
        <v>65</v>
      </c>
      <c r="K1" s="184">
        <f>DATE(BegCalYear,5,3)</f>
        <v>45415</v>
      </c>
      <c r="O1" s="177" t="s">
        <v>80</v>
      </c>
      <c r="P1" s="177" t="s">
        <v>81</v>
      </c>
      <c r="Q1" s="186" t="s">
        <v>94</v>
      </c>
      <c r="R1" s="178" t="s">
        <v>95</v>
      </c>
      <c r="S1" s="179" t="s">
        <v>96</v>
      </c>
      <c r="T1" s="179" t="s">
        <v>97</v>
      </c>
      <c r="U1" s="179" t="s">
        <v>98</v>
      </c>
      <c r="V1" s="177" t="s">
        <v>80</v>
      </c>
      <c r="W1" s="177" t="s">
        <v>81</v>
      </c>
      <c r="X1" s="178" t="s">
        <v>94</v>
      </c>
      <c r="Y1" s="178" t="s">
        <v>95</v>
      </c>
      <c r="Z1" s="179" t="s">
        <v>96</v>
      </c>
      <c r="AA1" s="179" t="s">
        <v>97</v>
      </c>
      <c r="AB1" s="179" t="s">
        <v>98</v>
      </c>
      <c r="AC1" s="179" t="s">
        <v>374</v>
      </c>
      <c r="AD1" s="177" t="s">
        <v>433</v>
      </c>
      <c r="AE1" s="178" t="s">
        <v>94</v>
      </c>
      <c r="AF1" s="178" t="s">
        <v>95</v>
      </c>
      <c r="AG1" s="179" t="s">
        <v>96</v>
      </c>
      <c r="AH1" s="179" t="s">
        <v>97</v>
      </c>
      <c r="AI1" s="179" t="s">
        <v>98</v>
      </c>
      <c r="AJ1" s="106"/>
      <c r="AK1" s="123" t="s">
        <v>103</v>
      </c>
      <c r="AL1" s="124" t="s">
        <v>104</v>
      </c>
      <c r="AM1" s="124" t="s">
        <v>105</v>
      </c>
      <c r="AN1" s="125" t="s">
        <v>106</v>
      </c>
    </row>
    <row r="2" spans="1:40" x14ac:dyDescent="0.25">
      <c r="A2" s="177">
        <v>187</v>
      </c>
      <c r="C2" s="177" t="s">
        <v>39</v>
      </c>
      <c r="F2" s="291" t="s">
        <v>44</v>
      </c>
      <c r="G2" s="291"/>
      <c r="H2" s="177">
        <f>VLOOKUP('Flex-Modified Calendar'!F1,F4:H15,3,FALSE)</f>
        <v>2025</v>
      </c>
      <c r="I2" s="182" t="s">
        <v>45</v>
      </c>
      <c r="J2" s="177"/>
      <c r="Q2" s="186">
        <v>207</v>
      </c>
      <c r="R2" s="178">
        <v>207</v>
      </c>
      <c r="S2" s="179">
        <v>187</v>
      </c>
      <c r="T2" s="179">
        <v>187</v>
      </c>
      <c r="U2" s="179">
        <v>187</v>
      </c>
      <c r="AE2" s="177">
        <v>207</v>
      </c>
      <c r="AF2" s="177">
        <v>207</v>
      </c>
      <c r="AG2" s="177">
        <v>187</v>
      </c>
      <c r="AH2" s="177">
        <v>187</v>
      </c>
      <c r="AI2" s="177">
        <v>187</v>
      </c>
      <c r="AK2" s="125" t="s">
        <v>126</v>
      </c>
      <c r="AL2" s="125" t="s">
        <v>127</v>
      </c>
      <c r="AM2" s="125" t="s">
        <v>128</v>
      </c>
      <c r="AN2" s="125" t="s">
        <v>107</v>
      </c>
    </row>
    <row r="3" spans="1:40" x14ac:dyDescent="0.25">
      <c r="C3" s="177" t="s">
        <v>40</v>
      </c>
      <c r="F3" s="183" t="s">
        <v>46</v>
      </c>
      <c r="G3" s="182" t="s">
        <v>47</v>
      </c>
      <c r="H3" s="182" t="s">
        <v>48</v>
      </c>
      <c r="I3" s="180">
        <f>DATE(BegCalYear,7,1)-WEEKDAY(DATE(BegCalYear,7,1),1)</f>
        <v>45472</v>
      </c>
      <c r="J3" s="180">
        <v>43647</v>
      </c>
      <c r="K3" s="26"/>
      <c r="L3" s="177">
        <v>1</v>
      </c>
      <c r="M3" s="177" t="s">
        <v>5</v>
      </c>
      <c r="O3" s="180">
        <f>DATE(BegCalYear,7,1)</f>
        <v>45474</v>
      </c>
      <c r="P3" s="181">
        <f>WEEKDAY(O3)</f>
        <v>2</v>
      </c>
      <c r="Q3" s="26" t="s">
        <v>82</v>
      </c>
      <c r="R3" s="25" t="s">
        <v>82</v>
      </c>
      <c r="S3" s="25" t="s">
        <v>82</v>
      </c>
      <c r="T3" s="25" t="s">
        <v>82</v>
      </c>
      <c r="U3" s="25" t="s">
        <v>82</v>
      </c>
      <c r="V3" s="180">
        <f>DATE(BegCalYear,7,1)</f>
        <v>45474</v>
      </c>
      <c r="W3" s="181">
        <f t="shared" ref="W3:W66" si="0">WEEKDAY(V3)</f>
        <v>2</v>
      </c>
      <c r="AD3" s="180">
        <f>DATE(BegCalYear,7,1)</f>
        <v>45474</v>
      </c>
      <c r="AE3" s="177">
        <f>AE2-(IF(Q3=1,1,0))+1</f>
        <v>208</v>
      </c>
      <c r="AF3" s="177">
        <f>AF2-(IF(R3=1,1,0))+1</f>
        <v>208</v>
      </c>
      <c r="AG3" s="177">
        <f>AG2-(IF(S3=1,1,0))+1</f>
        <v>188</v>
      </c>
      <c r="AH3" s="177">
        <f>AH2-(IF(T3=1,1,0))+1</f>
        <v>188</v>
      </c>
      <c r="AI3" s="177">
        <f>AI2-(IF(U3=1,1,0))+1</f>
        <v>188</v>
      </c>
      <c r="AK3" s="125" t="s">
        <v>204</v>
      </c>
      <c r="AL3" s="125" t="s">
        <v>205</v>
      </c>
      <c r="AM3" s="125" t="s">
        <v>206</v>
      </c>
      <c r="AN3" s="125" t="s">
        <v>107</v>
      </c>
    </row>
    <row r="4" spans="1:40" x14ac:dyDescent="0.25">
      <c r="F4" s="177" t="s">
        <v>49</v>
      </c>
      <c r="G4" s="177">
        <v>2019</v>
      </c>
      <c r="H4" s="177">
        <v>2020</v>
      </c>
      <c r="I4" s="180">
        <f>DATE(BegCalYear,8,1)-WEEKDAY(DATE(BegCalYear,8,1),1)</f>
        <v>45500</v>
      </c>
      <c r="J4" s="180">
        <v>43678</v>
      </c>
      <c r="K4" s="26"/>
      <c r="L4" s="185">
        <v>2</v>
      </c>
      <c r="M4" s="177" t="s">
        <v>6</v>
      </c>
      <c r="O4" s="180">
        <f>O3+1</f>
        <v>45475</v>
      </c>
      <c r="P4" s="181">
        <f t="shared" ref="P4:P67" si="1">WEEKDAY(O4)</f>
        <v>3</v>
      </c>
      <c r="Q4" s="26" t="s">
        <v>82</v>
      </c>
      <c r="R4" s="25" t="s">
        <v>82</v>
      </c>
      <c r="S4" s="25" t="s">
        <v>82</v>
      </c>
      <c r="T4" s="25" t="s">
        <v>82</v>
      </c>
      <c r="U4" s="25" t="s">
        <v>82</v>
      </c>
      <c r="V4" s="180">
        <f t="shared" ref="V4:V67" si="2">V3+1</f>
        <v>45475</v>
      </c>
      <c r="W4" s="181">
        <f t="shared" si="0"/>
        <v>3</v>
      </c>
      <c r="AD4" s="292">
        <f>AD3+1</f>
        <v>45475</v>
      </c>
      <c r="AE4" s="183">
        <f>AE3-(IF(Q4=1,1,0))</f>
        <v>208</v>
      </c>
      <c r="AF4" s="183">
        <f t="shared" ref="AF4:AF19" si="3">AF3-(IF(R4=1,1,0))</f>
        <v>208</v>
      </c>
      <c r="AG4" s="183">
        <f t="shared" ref="AG4:AG19" si="4">AG3-(IF(S4=1,1,0))</f>
        <v>188</v>
      </c>
      <c r="AH4" s="183">
        <f t="shared" ref="AH4:AH19" si="5">AH3-(IF(T4=1,1,0))</f>
        <v>188</v>
      </c>
      <c r="AI4" s="183">
        <f t="shared" ref="AI4:AI19" si="6">AI3-(IF(U4=1,1,0))</f>
        <v>188</v>
      </c>
      <c r="AK4" s="125" t="s">
        <v>211</v>
      </c>
      <c r="AL4" s="125" t="s">
        <v>212</v>
      </c>
      <c r="AM4" s="125" t="s">
        <v>213</v>
      </c>
      <c r="AN4" s="125" t="s">
        <v>107</v>
      </c>
    </row>
    <row r="5" spans="1:40" x14ac:dyDescent="0.25">
      <c r="F5" s="177" t="s">
        <v>50</v>
      </c>
      <c r="G5" s="177">
        <v>2020</v>
      </c>
      <c r="H5" s="177">
        <v>2021</v>
      </c>
      <c r="I5" s="180">
        <f>DATE(BegCalYear,9,1)-WEEKDAY(DATE(BegCalYear,9,1),1)</f>
        <v>45535</v>
      </c>
      <c r="J5" s="180">
        <v>43709</v>
      </c>
      <c r="K5" s="26"/>
      <c r="L5" s="185">
        <v>3</v>
      </c>
      <c r="M5" s="177" t="s">
        <v>7</v>
      </c>
      <c r="O5" s="180">
        <f>O4+1</f>
        <v>45476</v>
      </c>
      <c r="P5" s="181">
        <f t="shared" si="1"/>
        <v>4</v>
      </c>
      <c r="Q5" s="26" t="s">
        <v>82</v>
      </c>
      <c r="R5" s="25" t="s">
        <v>82</v>
      </c>
      <c r="S5" s="25" t="s">
        <v>82</v>
      </c>
      <c r="T5" s="25" t="s">
        <v>82</v>
      </c>
      <c r="U5" s="25" t="s">
        <v>82</v>
      </c>
      <c r="V5" s="180">
        <f t="shared" si="2"/>
        <v>45476</v>
      </c>
      <c r="W5" s="181">
        <f t="shared" si="0"/>
        <v>4</v>
      </c>
      <c r="AD5" s="180">
        <f>AD4+1</f>
        <v>45476</v>
      </c>
      <c r="AE5" s="177">
        <f t="shared" ref="AE5:AE68" si="7">AE4-(IF(Q5=1,1,0))</f>
        <v>208</v>
      </c>
      <c r="AF5" s="177">
        <f t="shared" ref="AF5:AF68" si="8">AF4-(IF(R5=1,1,0))</f>
        <v>208</v>
      </c>
      <c r="AG5" s="177">
        <f t="shared" ref="AG5:AG68" si="9">AG4-(IF(S5=1,1,0))</f>
        <v>188</v>
      </c>
      <c r="AH5" s="177">
        <f t="shared" ref="AH5:AH68" si="10">AH4-(IF(T5=1,1,0))</f>
        <v>188</v>
      </c>
      <c r="AI5" s="177">
        <f t="shared" ref="AI5:AI68" si="11">AI4-(IF(U5=1,1,0))</f>
        <v>188</v>
      </c>
      <c r="AK5" s="125" t="s">
        <v>174</v>
      </c>
      <c r="AL5" s="125" t="s">
        <v>175</v>
      </c>
      <c r="AM5" s="125" t="s">
        <v>176</v>
      </c>
      <c r="AN5" s="125" t="s">
        <v>107</v>
      </c>
    </row>
    <row r="6" spans="1:40" x14ac:dyDescent="0.25">
      <c r="F6" s="177" t="s">
        <v>51</v>
      </c>
      <c r="G6" s="177">
        <v>2021</v>
      </c>
      <c r="H6" s="177">
        <v>2022</v>
      </c>
      <c r="I6" s="180">
        <f>DATE(BegCalYear,10,1)-WEEKDAY(DATE(BegCalYear,10,1),1)</f>
        <v>45563</v>
      </c>
      <c r="J6" s="180">
        <v>43739</v>
      </c>
      <c r="K6" s="26"/>
      <c r="L6" s="185">
        <v>4</v>
      </c>
      <c r="M6" s="177" t="s">
        <v>8</v>
      </c>
      <c r="O6" s="180">
        <f t="shared" ref="O6:O69" si="12">O5+1</f>
        <v>45477</v>
      </c>
      <c r="P6" s="181">
        <f t="shared" si="1"/>
        <v>5</v>
      </c>
      <c r="Q6" s="26" t="s">
        <v>83</v>
      </c>
      <c r="R6" s="25" t="s">
        <v>83</v>
      </c>
      <c r="S6" s="25" t="s">
        <v>83</v>
      </c>
      <c r="T6" s="25" t="s">
        <v>83</v>
      </c>
      <c r="U6" s="25" t="s">
        <v>83</v>
      </c>
      <c r="V6" s="180">
        <f t="shared" si="2"/>
        <v>45477</v>
      </c>
      <c r="W6" s="181">
        <f t="shared" si="0"/>
        <v>5</v>
      </c>
      <c r="AD6" s="180">
        <f t="shared" ref="AD6:AD69" si="13">AD5+1</f>
        <v>45477</v>
      </c>
      <c r="AE6" s="177">
        <f t="shared" si="7"/>
        <v>208</v>
      </c>
      <c r="AF6" s="177">
        <f t="shared" si="8"/>
        <v>208</v>
      </c>
      <c r="AG6" s="177">
        <f t="shared" si="9"/>
        <v>188</v>
      </c>
      <c r="AH6" s="177">
        <f t="shared" si="10"/>
        <v>188</v>
      </c>
      <c r="AI6" s="177">
        <f t="shared" si="11"/>
        <v>188</v>
      </c>
      <c r="AK6" s="125" t="s">
        <v>149</v>
      </c>
      <c r="AL6" s="125" t="s">
        <v>150</v>
      </c>
      <c r="AM6" s="125" t="s">
        <v>151</v>
      </c>
      <c r="AN6" s="125" t="s">
        <v>107</v>
      </c>
    </row>
    <row r="7" spans="1:40" x14ac:dyDescent="0.25">
      <c r="F7" s="177" t="s">
        <v>52</v>
      </c>
      <c r="G7" s="177">
        <v>2022</v>
      </c>
      <c r="H7" s="177">
        <v>2023</v>
      </c>
      <c r="I7" s="180">
        <f>DATE(BegCalYear,11,1)-WEEKDAY(DATE(BegCalYear,11,1),1)</f>
        <v>45591</v>
      </c>
      <c r="J7" s="180">
        <v>43770</v>
      </c>
      <c r="K7" s="26"/>
      <c r="L7" s="185">
        <v>5</v>
      </c>
      <c r="M7" s="177" t="s">
        <v>41</v>
      </c>
      <c r="O7" s="180">
        <f t="shared" si="12"/>
        <v>45478</v>
      </c>
      <c r="P7" s="181">
        <f t="shared" si="1"/>
        <v>6</v>
      </c>
      <c r="Q7" s="26" t="s">
        <v>82</v>
      </c>
      <c r="R7" s="25" t="s">
        <v>82</v>
      </c>
      <c r="S7" s="25" t="s">
        <v>82</v>
      </c>
      <c r="T7" s="25" t="s">
        <v>82</v>
      </c>
      <c r="U7" s="25" t="s">
        <v>82</v>
      </c>
      <c r="V7" s="180">
        <f t="shared" si="2"/>
        <v>45478</v>
      </c>
      <c r="W7" s="181">
        <f t="shared" si="0"/>
        <v>6</v>
      </c>
      <c r="AD7" s="180">
        <f t="shared" si="13"/>
        <v>45478</v>
      </c>
      <c r="AE7" s="177">
        <f t="shared" si="7"/>
        <v>208</v>
      </c>
      <c r="AF7" s="177">
        <f t="shared" si="8"/>
        <v>208</v>
      </c>
      <c r="AG7" s="177">
        <f t="shared" si="9"/>
        <v>188</v>
      </c>
      <c r="AH7" s="177">
        <f t="shared" si="10"/>
        <v>188</v>
      </c>
      <c r="AI7" s="177">
        <f t="shared" si="11"/>
        <v>188</v>
      </c>
      <c r="AK7" s="125" t="s">
        <v>274</v>
      </c>
      <c r="AL7" s="125" t="s">
        <v>275</v>
      </c>
      <c r="AM7" s="125" t="s">
        <v>276</v>
      </c>
      <c r="AN7" s="125" t="s">
        <v>222</v>
      </c>
    </row>
    <row r="8" spans="1:40" x14ac:dyDescent="0.25">
      <c r="F8" s="177" t="s">
        <v>53</v>
      </c>
      <c r="G8" s="177">
        <v>2023</v>
      </c>
      <c r="H8" s="177">
        <v>2024</v>
      </c>
      <c r="I8" s="180">
        <f>DATE(BegCalYear,12,1)-WEEKDAY(DATE(BegCalYear,12,1),1)</f>
        <v>45626</v>
      </c>
      <c r="J8" s="180">
        <v>43800</v>
      </c>
      <c r="K8" s="26"/>
      <c r="L8" s="185">
        <v>6</v>
      </c>
      <c r="M8" s="177" t="s">
        <v>9</v>
      </c>
      <c r="O8" s="180">
        <f t="shared" si="12"/>
        <v>45479</v>
      </c>
      <c r="P8" s="181">
        <f t="shared" si="1"/>
        <v>7</v>
      </c>
      <c r="Q8" s="26" t="s">
        <v>82</v>
      </c>
      <c r="R8" s="25" t="s">
        <v>82</v>
      </c>
      <c r="S8" s="25" t="s">
        <v>82</v>
      </c>
      <c r="T8" s="25" t="s">
        <v>82</v>
      </c>
      <c r="U8" s="25" t="s">
        <v>82</v>
      </c>
      <c r="V8" s="180">
        <f t="shared" si="2"/>
        <v>45479</v>
      </c>
      <c r="W8" s="181">
        <f t="shared" si="0"/>
        <v>7</v>
      </c>
      <c r="AD8" s="180">
        <f t="shared" si="13"/>
        <v>45479</v>
      </c>
      <c r="AE8" s="177">
        <f t="shared" si="7"/>
        <v>208</v>
      </c>
      <c r="AF8" s="177">
        <f t="shared" si="8"/>
        <v>208</v>
      </c>
      <c r="AG8" s="177">
        <f t="shared" si="9"/>
        <v>188</v>
      </c>
      <c r="AH8" s="177">
        <f t="shared" si="10"/>
        <v>188</v>
      </c>
      <c r="AI8" s="177">
        <f t="shared" si="11"/>
        <v>188</v>
      </c>
      <c r="AK8" s="125" t="s">
        <v>114</v>
      </c>
      <c r="AL8" s="125" t="s">
        <v>115</v>
      </c>
      <c r="AM8" s="125" t="s">
        <v>116</v>
      </c>
      <c r="AN8" s="125" t="s">
        <v>107</v>
      </c>
    </row>
    <row r="9" spans="1:40" x14ac:dyDescent="0.25">
      <c r="F9" s="177" t="s">
        <v>54</v>
      </c>
      <c r="G9" s="177">
        <v>2024</v>
      </c>
      <c r="H9" s="177">
        <v>2025</v>
      </c>
      <c r="I9" s="180">
        <f>DATE(EndCalYear,1,1)-WEEKDAY(DATE(EndCalYear,1,1),1)</f>
        <v>45654</v>
      </c>
      <c r="J9" s="180">
        <v>43831</v>
      </c>
      <c r="K9" s="26"/>
      <c r="L9" s="185">
        <v>7</v>
      </c>
      <c r="M9" s="177" t="s">
        <v>5</v>
      </c>
      <c r="O9" s="180">
        <f t="shared" si="12"/>
        <v>45480</v>
      </c>
      <c r="P9" s="181">
        <f t="shared" si="1"/>
        <v>1</v>
      </c>
      <c r="Q9" s="26" t="s">
        <v>82</v>
      </c>
      <c r="R9" s="25" t="s">
        <v>82</v>
      </c>
      <c r="S9" s="25" t="s">
        <v>82</v>
      </c>
      <c r="T9" s="25" t="s">
        <v>82</v>
      </c>
      <c r="U9" s="25" t="s">
        <v>82</v>
      </c>
      <c r="V9" s="180">
        <f t="shared" si="2"/>
        <v>45480</v>
      </c>
      <c r="W9" s="181">
        <f t="shared" si="0"/>
        <v>1</v>
      </c>
      <c r="AD9" s="180">
        <f t="shared" si="13"/>
        <v>45480</v>
      </c>
      <c r="AE9" s="177">
        <f t="shared" si="7"/>
        <v>208</v>
      </c>
      <c r="AF9" s="177">
        <f t="shared" si="8"/>
        <v>208</v>
      </c>
      <c r="AG9" s="177">
        <f t="shared" si="9"/>
        <v>188</v>
      </c>
      <c r="AH9" s="177">
        <f t="shared" si="10"/>
        <v>188</v>
      </c>
      <c r="AI9" s="177">
        <f t="shared" si="11"/>
        <v>188</v>
      </c>
      <c r="AK9" s="125" t="s">
        <v>117</v>
      </c>
      <c r="AL9" s="125" t="s">
        <v>118</v>
      </c>
      <c r="AM9" s="125" t="s">
        <v>119</v>
      </c>
      <c r="AN9" s="125" t="s">
        <v>107</v>
      </c>
    </row>
    <row r="10" spans="1:40" x14ac:dyDescent="0.25">
      <c r="F10" s="177" t="s">
        <v>55</v>
      </c>
      <c r="G10" s="177">
        <v>2025</v>
      </c>
      <c r="H10" s="177">
        <v>2026</v>
      </c>
      <c r="I10" s="180">
        <f>DATE(EndCalYear,2,1)-WEEKDAY(DATE(EndCalYear,2,1),1)</f>
        <v>45682</v>
      </c>
      <c r="J10" s="180">
        <v>43862</v>
      </c>
      <c r="K10" s="26"/>
      <c r="L10" s="185" t="str">
        <f>"."</f>
        <v>.</v>
      </c>
      <c r="M10" s="177" t="str">
        <f>"."</f>
        <v>.</v>
      </c>
      <c r="O10" s="180">
        <f t="shared" si="12"/>
        <v>45481</v>
      </c>
      <c r="P10" s="181">
        <f t="shared" si="1"/>
        <v>2</v>
      </c>
      <c r="Q10" s="26" t="s">
        <v>82</v>
      </c>
      <c r="R10" s="25" t="s">
        <v>82</v>
      </c>
      <c r="S10" s="25" t="s">
        <v>82</v>
      </c>
      <c r="T10" s="25" t="s">
        <v>82</v>
      </c>
      <c r="U10" s="25" t="s">
        <v>82</v>
      </c>
      <c r="V10" s="180">
        <f t="shared" si="2"/>
        <v>45481</v>
      </c>
      <c r="W10" s="181">
        <f t="shared" si="0"/>
        <v>2</v>
      </c>
      <c r="AD10" s="180">
        <f t="shared" si="13"/>
        <v>45481</v>
      </c>
      <c r="AE10" s="177">
        <f t="shared" si="7"/>
        <v>208</v>
      </c>
      <c r="AF10" s="177">
        <f t="shared" si="8"/>
        <v>208</v>
      </c>
      <c r="AG10" s="177">
        <f t="shared" si="9"/>
        <v>188</v>
      </c>
      <c r="AH10" s="177">
        <f t="shared" si="10"/>
        <v>188</v>
      </c>
      <c r="AI10" s="177">
        <f t="shared" si="11"/>
        <v>188</v>
      </c>
      <c r="AK10" s="125" t="s">
        <v>120</v>
      </c>
      <c r="AL10" s="125" t="s">
        <v>121</v>
      </c>
      <c r="AM10" s="125" t="s">
        <v>122</v>
      </c>
      <c r="AN10" s="125" t="s">
        <v>107</v>
      </c>
    </row>
    <row r="11" spans="1:40" x14ac:dyDescent="0.25">
      <c r="F11" s="177" t="s">
        <v>56</v>
      </c>
      <c r="G11" s="177">
        <v>2026</v>
      </c>
      <c r="H11" s="177">
        <v>2027</v>
      </c>
      <c r="I11" s="180">
        <f>DATE(EndCalYear,3,1)-WEEKDAY(DATE(EndCalYear,3,1),1)</f>
        <v>45710</v>
      </c>
      <c r="J11" s="180">
        <v>43891</v>
      </c>
      <c r="K11" s="26"/>
      <c r="O11" s="180">
        <f t="shared" si="12"/>
        <v>45482</v>
      </c>
      <c r="P11" s="181">
        <f t="shared" si="1"/>
        <v>3</v>
      </c>
      <c r="Q11" s="26" t="s">
        <v>82</v>
      </c>
      <c r="R11" s="25" t="s">
        <v>82</v>
      </c>
      <c r="S11" s="25" t="s">
        <v>82</v>
      </c>
      <c r="T11" s="25" t="s">
        <v>82</v>
      </c>
      <c r="U11" s="25" t="s">
        <v>82</v>
      </c>
      <c r="V11" s="180">
        <f t="shared" si="2"/>
        <v>45482</v>
      </c>
      <c r="W11" s="181">
        <f t="shared" si="0"/>
        <v>3</v>
      </c>
      <c r="AD11" s="180">
        <f t="shared" si="13"/>
        <v>45482</v>
      </c>
      <c r="AE11" s="177">
        <f t="shared" si="7"/>
        <v>208</v>
      </c>
      <c r="AF11" s="177">
        <f t="shared" si="8"/>
        <v>208</v>
      </c>
      <c r="AG11" s="177">
        <f t="shared" si="9"/>
        <v>188</v>
      </c>
      <c r="AH11" s="177">
        <f t="shared" si="10"/>
        <v>188</v>
      </c>
      <c r="AI11" s="177">
        <f t="shared" si="11"/>
        <v>188</v>
      </c>
      <c r="AK11" s="125" t="s">
        <v>123</v>
      </c>
      <c r="AL11" s="125" t="s">
        <v>124</v>
      </c>
      <c r="AM11" s="125" t="s">
        <v>125</v>
      </c>
      <c r="AN11" s="125" t="s">
        <v>107</v>
      </c>
    </row>
    <row r="12" spans="1:40" x14ac:dyDescent="0.25">
      <c r="F12" s="177" t="s">
        <v>57</v>
      </c>
      <c r="G12" s="177">
        <v>2027</v>
      </c>
      <c r="H12" s="177">
        <v>2028</v>
      </c>
      <c r="I12" s="180">
        <f>DATE(EndCalYear,4,1)-WEEKDAY(DATE(EndCalYear,4,1),1)</f>
        <v>45745</v>
      </c>
      <c r="J12" s="180">
        <v>43922</v>
      </c>
      <c r="K12" s="26"/>
      <c r="O12" s="180">
        <f t="shared" si="12"/>
        <v>45483</v>
      </c>
      <c r="P12" s="181">
        <f t="shared" si="1"/>
        <v>4</v>
      </c>
      <c r="Q12" s="26" t="s">
        <v>82</v>
      </c>
      <c r="R12" s="25" t="s">
        <v>82</v>
      </c>
      <c r="S12" s="25" t="s">
        <v>82</v>
      </c>
      <c r="T12" s="25" t="s">
        <v>82</v>
      </c>
      <c r="U12" s="25" t="s">
        <v>82</v>
      </c>
      <c r="V12" s="180">
        <f t="shared" si="2"/>
        <v>45483</v>
      </c>
      <c r="W12" s="181">
        <f t="shared" si="0"/>
        <v>4</v>
      </c>
      <c r="AD12" s="180">
        <f t="shared" si="13"/>
        <v>45483</v>
      </c>
      <c r="AE12" s="177">
        <f t="shared" si="7"/>
        <v>208</v>
      </c>
      <c r="AF12" s="177">
        <f t="shared" si="8"/>
        <v>208</v>
      </c>
      <c r="AG12" s="177">
        <f t="shared" si="9"/>
        <v>188</v>
      </c>
      <c r="AH12" s="177">
        <f t="shared" si="10"/>
        <v>188</v>
      </c>
      <c r="AI12" s="177">
        <f t="shared" si="11"/>
        <v>188</v>
      </c>
      <c r="AK12" s="125" t="s">
        <v>111</v>
      </c>
      <c r="AL12" s="125" t="s">
        <v>112</v>
      </c>
      <c r="AM12" s="125" t="s">
        <v>113</v>
      </c>
      <c r="AN12" s="125" t="s">
        <v>107</v>
      </c>
    </row>
    <row r="13" spans="1:40" x14ac:dyDescent="0.25">
      <c r="F13" s="177" t="s">
        <v>58</v>
      </c>
      <c r="G13" s="177">
        <v>2028</v>
      </c>
      <c r="H13" s="177">
        <v>2029</v>
      </c>
      <c r="I13" s="180">
        <f>DATE(EndCalYear,5,1)-WEEKDAY(DATE(EndCalYear,5,1),1)</f>
        <v>45773</v>
      </c>
      <c r="J13" s="180">
        <v>43952</v>
      </c>
      <c r="K13" s="26"/>
      <c r="O13" s="180">
        <f t="shared" si="12"/>
        <v>45484</v>
      </c>
      <c r="P13" s="181">
        <f t="shared" si="1"/>
        <v>5</v>
      </c>
      <c r="Q13" s="26" t="s">
        <v>82</v>
      </c>
      <c r="R13" s="25" t="s">
        <v>82</v>
      </c>
      <c r="S13" s="25" t="s">
        <v>82</v>
      </c>
      <c r="T13" s="25" t="s">
        <v>82</v>
      </c>
      <c r="U13" s="25" t="s">
        <v>82</v>
      </c>
      <c r="V13" s="180">
        <f t="shared" si="2"/>
        <v>45484</v>
      </c>
      <c r="W13" s="181">
        <f t="shared" si="0"/>
        <v>5</v>
      </c>
      <c r="AD13" s="180">
        <f t="shared" si="13"/>
        <v>45484</v>
      </c>
      <c r="AE13" s="177">
        <f t="shared" si="7"/>
        <v>208</v>
      </c>
      <c r="AF13" s="177">
        <f t="shared" si="8"/>
        <v>208</v>
      </c>
      <c r="AG13" s="177">
        <f t="shared" si="9"/>
        <v>188</v>
      </c>
      <c r="AH13" s="177">
        <f t="shared" si="10"/>
        <v>188</v>
      </c>
      <c r="AI13" s="177">
        <f t="shared" si="11"/>
        <v>188</v>
      </c>
      <c r="AK13" s="125" t="s">
        <v>108</v>
      </c>
      <c r="AL13" s="125" t="s">
        <v>109</v>
      </c>
      <c r="AM13" s="125" t="s">
        <v>110</v>
      </c>
      <c r="AN13" s="125" t="s">
        <v>107</v>
      </c>
    </row>
    <row r="14" spans="1:40" x14ac:dyDescent="0.25">
      <c r="F14" s="177" t="s">
        <v>59</v>
      </c>
      <c r="G14" s="177">
        <v>2029</v>
      </c>
      <c r="H14" s="177">
        <v>2030</v>
      </c>
      <c r="I14" s="180">
        <f>DATE(EndCalYear,6,1)-WEEKDAY(DATE(EndCalYear,6,1),1)</f>
        <v>45808</v>
      </c>
      <c r="J14" s="180">
        <v>43983</v>
      </c>
      <c r="K14" s="26"/>
      <c r="O14" s="180">
        <f t="shared" si="12"/>
        <v>45485</v>
      </c>
      <c r="P14" s="181">
        <f t="shared" si="1"/>
        <v>6</v>
      </c>
      <c r="Q14" s="26" t="s">
        <v>82</v>
      </c>
      <c r="R14" s="25" t="s">
        <v>82</v>
      </c>
      <c r="S14" s="25" t="s">
        <v>82</v>
      </c>
      <c r="T14" s="25" t="s">
        <v>82</v>
      </c>
      <c r="U14" s="25" t="s">
        <v>82</v>
      </c>
      <c r="V14" s="180">
        <f t="shared" si="2"/>
        <v>45485</v>
      </c>
      <c r="W14" s="181">
        <f t="shared" si="0"/>
        <v>6</v>
      </c>
      <c r="AD14" s="180">
        <f t="shared" si="13"/>
        <v>45485</v>
      </c>
      <c r="AE14" s="177">
        <f t="shared" si="7"/>
        <v>208</v>
      </c>
      <c r="AF14" s="177">
        <f t="shared" si="8"/>
        <v>208</v>
      </c>
      <c r="AG14" s="177">
        <f t="shared" si="9"/>
        <v>188</v>
      </c>
      <c r="AH14" s="177">
        <f t="shared" si="10"/>
        <v>188</v>
      </c>
      <c r="AI14" s="177">
        <f t="shared" si="11"/>
        <v>188</v>
      </c>
      <c r="AK14" s="125" t="s">
        <v>428</v>
      </c>
      <c r="AL14" s="125" t="s">
        <v>434</v>
      </c>
      <c r="AM14" s="125" t="s">
        <v>435</v>
      </c>
      <c r="AN14" s="125" t="s">
        <v>222</v>
      </c>
    </row>
    <row r="15" spans="1:40" x14ac:dyDescent="0.25">
      <c r="F15" s="177" t="s">
        <v>60</v>
      </c>
      <c r="G15" s="177">
        <v>2030</v>
      </c>
      <c r="H15" s="177">
        <v>2031</v>
      </c>
      <c r="I15" s="180">
        <f>DATE(EndCalYear,7,1)-WEEKDAY(DATE(EndCalYear,7,1),1)</f>
        <v>45836</v>
      </c>
      <c r="J15" s="180">
        <v>44013</v>
      </c>
      <c r="K15" s="26"/>
      <c r="O15" s="180">
        <f t="shared" si="12"/>
        <v>45486</v>
      </c>
      <c r="P15" s="181">
        <f t="shared" si="1"/>
        <v>7</v>
      </c>
      <c r="Q15" s="26" t="s">
        <v>82</v>
      </c>
      <c r="R15" s="25" t="s">
        <v>82</v>
      </c>
      <c r="S15" s="25" t="s">
        <v>82</v>
      </c>
      <c r="T15" s="25" t="s">
        <v>82</v>
      </c>
      <c r="U15" s="25" t="s">
        <v>82</v>
      </c>
      <c r="V15" s="180">
        <f t="shared" si="2"/>
        <v>45486</v>
      </c>
      <c r="W15" s="181">
        <f t="shared" si="0"/>
        <v>7</v>
      </c>
      <c r="AD15" s="180">
        <f t="shared" si="13"/>
        <v>45486</v>
      </c>
      <c r="AE15" s="177">
        <f t="shared" si="7"/>
        <v>208</v>
      </c>
      <c r="AF15" s="177">
        <f t="shared" si="8"/>
        <v>208</v>
      </c>
      <c r="AG15" s="177">
        <f t="shared" si="9"/>
        <v>188</v>
      </c>
      <c r="AH15" s="177">
        <f t="shared" si="10"/>
        <v>188</v>
      </c>
      <c r="AI15" s="177">
        <f t="shared" si="11"/>
        <v>188</v>
      </c>
      <c r="AK15" s="125" t="s">
        <v>154</v>
      </c>
      <c r="AL15" s="125" t="s">
        <v>155</v>
      </c>
      <c r="AM15" s="125" t="s">
        <v>156</v>
      </c>
      <c r="AN15" s="125" t="s">
        <v>107</v>
      </c>
    </row>
    <row r="16" spans="1:40" x14ac:dyDescent="0.25">
      <c r="O16" s="180">
        <f t="shared" si="12"/>
        <v>45487</v>
      </c>
      <c r="P16" s="181">
        <f t="shared" si="1"/>
        <v>1</v>
      </c>
      <c r="Q16" s="26" t="s">
        <v>82</v>
      </c>
      <c r="R16" s="25" t="s">
        <v>82</v>
      </c>
      <c r="S16" s="25" t="s">
        <v>82</v>
      </c>
      <c r="T16" s="25" t="s">
        <v>82</v>
      </c>
      <c r="U16" s="25" t="s">
        <v>82</v>
      </c>
      <c r="V16" s="180">
        <f t="shared" si="2"/>
        <v>45487</v>
      </c>
      <c r="W16" s="181">
        <f t="shared" si="0"/>
        <v>1</v>
      </c>
      <c r="AD16" s="180">
        <f t="shared" si="13"/>
        <v>45487</v>
      </c>
      <c r="AE16" s="177">
        <f t="shared" si="7"/>
        <v>208</v>
      </c>
      <c r="AF16" s="177">
        <f t="shared" si="8"/>
        <v>208</v>
      </c>
      <c r="AG16" s="177">
        <f t="shared" si="9"/>
        <v>188</v>
      </c>
      <c r="AH16" s="177">
        <f t="shared" si="10"/>
        <v>188</v>
      </c>
      <c r="AI16" s="177">
        <f t="shared" si="11"/>
        <v>188</v>
      </c>
      <c r="AK16" s="125" t="s">
        <v>425</v>
      </c>
      <c r="AL16" s="125" t="s">
        <v>426</v>
      </c>
      <c r="AM16" s="125" t="s">
        <v>427</v>
      </c>
      <c r="AN16" s="125" t="s">
        <v>107</v>
      </c>
    </row>
    <row r="17" spans="15:40" x14ac:dyDescent="0.25">
      <c r="O17" s="180">
        <f t="shared" si="12"/>
        <v>45488</v>
      </c>
      <c r="P17" s="181">
        <f t="shared" si="1"/>
        <v>2</v>
      </c>
      <c r="Q17" s="26" t="s">
        <v>82</v>
      </c>
      <c r="R17" s="25" t="s">
        <v>82</v>
      </c>
      <c r="S17" s="25" t="s">
        <v>82</v>
      </c>
      <c r="T17" s="25" t="s">
        <v>82</v>
      </c>
      <c r="U17" s="25" t="s">
        <v>82</v>
      </c>
      <c r="V17" s="180">
        <f t="shared" si="2"/>
        <v>45488</v>
      </c>
      <c r="W17" s="181">
        <f t="shared" si="0"/>
        <v>2</v>
      </c>
      <c r="AD17" s="180">
        <f t="shared" si="13"/>
        <v>45488</v>
      </c>
      <c r="AE17" s="177">
        <f t="shared" si="7"/>
        <v>208</v>
      </c>
      <c r="AF17" s="177">
        <f t="shared" si="8"/>
        <v>208</v>
      </c>
      <c r="AG17" s="177">
        <f t="shared" si="9"/>
        <v>188</v>
      </c>
      <c r="AH17" s="177">
        <f t="shared" si="10"/>
        <v>188</v>
      </c>
      <c r="AI17" s="177">
        <f t="shared" si="11"/>
        <v>188</v>
      </c>
      <c r="AK17" s="125" t="s">
        <v>132</v>
      </c>
      <c r="AL17" s="125" t="s">
        <v>133</v>
      </c>
      <c r="AM17" s="125" t="s">
        <v>134</v>
      </c>
      <c r="AN17" s="125" t="s">
        <v>107</v>
      </c>
    </row>
    <row r="18" spans="15:40" x14ac:dyDescent="0.25">
      <c r="O18" s="180">
        <f t="shared" si="12"/>
        <v>45489</v>
      </c>
      <c r="P18" s="181">
        <f t="shared" si="1"/>
        <v>3</v>
      </c>
      <c r="Q18" s="26" t="s">
        <v>82</v>
      </c>
      <c r="R18" s="25" t="s">
        <v>82</v>
      </c>
      <c r="S18" s="25" t="s">
        <v>82</v>
      </c>
      <c r="T18" s="25" t="s">
        <v>82</v>
      </c>
      <c r="U18" s="25" t="s">
        <v>82</v>
      </c>
      <c r="V18" s="180">
        <f t="shared" si="2"/>
        <v>45489</v>
      </c>
      <c r="W18" s="181">
        <f t="shared" si="0"/>
        <v>3</v>
      </c>
      <c r="AD18" s="180">
        <f t="shared" si="13"/>
        <v>45489</v>
      </c>
      <c r="AE18" s="177">
        <f t="shared" si="7"/>
        <v>208</v>
      </c>
      <c r="AF18" s="177">
        <f t="shared" si="8"/>
        <v>208</v>
      </c>
      <c r="AG18" s="177">
        <f t="shared" si="9"/>
        <v>188</v>
      </c>
      <c r="AH18" s="177">
        <f t="shared" si="10"/>
        <v>188</v>
      </c>
      <c r="AI18" s="177">
        <f t="shared" si="11"/>
        <v>188</v>
      </c>
      <c r="AK18" s="125" t="s">
        <v>322</v>
      </c>
      <c r="AL18" s="125" t="s">
        <v>323</v>
      </c>
      <c r="AM18" s="125" t="s">
        <v>324</v>
      </c>
      <c r="AN18" s="125" t="s">
        <v>222</v>
      </c>
    </row>
    <row r="19" spans="15:40" x14ac:dyDescent="0.25">
      <c r="O19" s="180">
        <f t="shared" si="12"/>
        <v>45490</v>
      </c>
      <c r="P19" s="181">
        <f t="shared" si="1"/>
        <v>4</v>
      </c>
      <c r="Q19" s="26" t="s">
        <v>82</v>
      </c>
      <c r="R19" s="25" t="s">
        <v>82</v>
      </c>
      <c r="S19" s="25" t="s">
        <v>82</v>
      </c>
      <c r="T19" s="25" t="s">
        <v>82</v>
      </c>
      <c r="U19" s="25" t="s">
        <v>82</v>
      </c>
      <c r="V19" s="180">
        <f t="shared" si="2"/>
        <v>45490</v>
      </c>
      <c r="W19" s="181">
        <f t="shared" si="0"/>
        <v>4</v>
      </c>
      <c r="AD19" s="180">
        <f t="shared" si="13"/>
        <v>45490</v>
      </c>
      <c r="AE19" s="177">
        <f t="shared" si="7"/>
        <v>208</v>
      </c>
      <c r="AF19" s="177">
        <f t="shared" si="8"/>
        <v>208</v>
      </c>
      <c r="AG19" s="177">
        <f t="shared" si="9"/>
        <v>188</v>
      </c>
      <c r="AH19" s="177">
        <f t="shared" si="10"/>
        <v>188</v>
      </c>
      <c r="AI19" s="177">
        <f t="shared" si="11"/>
        <v>188</v>
      </c>
      <c r="AK19" s="125" t="s">
        <v>375</v>
      </c>
      <c r="AL19" s="125" t="s">
        <v>376</v>
      </c>
      <c r="AM19" s="125" t="s">
        <v>376</v>
      </c>
      <c r="AN19" s="125" t="s">
        <v>374</v>
      </c>
    </row>
    <row r="20" spans="15:40" x14ac:dyDescent="0.25">
      <c r="O20" s="180">
        <f t="shared" si="12"/>
        <v>45491</v>
      </c>
      <c r="P20" s="181">
        <f t="shared" si="1"/>
        <v>5</v>
      </c>
      <c r="Q20" s="26" t="s">
        <v>82</v>
      </c>
      <c r="R20" s="25" t="s">
        <v>82</v>
      </c>
      <c r="S20" s="25" t="s">
        <v>82</v>
      </c>
      <c r="T20" s="25" t="s">
        <v>82</v>
      </c>
      <c r="U20" s="25" t="s">
        <v>82</v>
      </c>
      <c r="V20" s="180">
        <f t="shared" si="2"/>
        <v>45491</v>
      </c>
      <c r="W20" s="181">
        <f t="shared" si="0"/>
        <v>5</v>
      </c>
      <c r="AD20" s="180">
        <f t="shared" si="13"/>
        <v>45491</v>
      </c>
      <c r="AE20" s="177">
        <f t="shared" si="7"/>
        <v>208</v>
      </c>
      <c r="AF20" s="177">
        <f t="shared" si="8"/>
        <v>208</v>
      </c>
      <c r="AG20" s="177">
        <f t="shared" si="9"/>
        <v>188</v>
      </c>
      <c r="AH20" s="177">
        <f t="shared" si="10"/>
        <v>188</v>
      </c>
      <c r="AI20" s="177">
        <f t="shared" si="11"/>
        <v>188</v>
      </c>
      <c r="AK20" s="125" t="s">
        <v>250</v>
      </c>
      <c r="AL20" s="125" t="s">
        <v>251</v>
      </c>
      <c r="AM20" s="125" t="s">
        <v>252</v>
      </c>
      <c r="AN20" s="125" t="s">
        <v>222</v>
      </c>
    </row>
    <row r="21" spans="15:40" x14ac:dyDescent="0.25">
      <c r="O21" s="180">
        <f t="shared" si="12"/>
        <v>45492</v>
      </c>
      <c r="P21" s="181">
        <f t="shared" si="1"/>
        <v>6</v>
      </c>
      <c r="Q21" s="26" t="s">
        <v>82</v>
      </c>
      <c r="R21" s="25" t="s">
        <v>82</v>
      </c>
      <c r="S21" s="25" t="s">
        <v>82</v>
      </c>
      <c r="T21" s="25" t="s">
        <v>82</v>
      </c>
      <c r="U21" s="25" t="s">
        <v>82</v>
      </c>
      <c r="V21" s="180">
        <f t="shared" si="2"/>
        <v>45492</v>
      </c>
      <c r="W21" s="181">
        <f t="shared" si="0"/>
        <v>6</v>
      </c>
      <c r="AD21" s="180">
        <f t="shared" si="13"/>
        <v>45492</v>
      </c>
      <c r="AE21" s="177">
        <f t="shared" si="7"/>
        <v>208</v>
      </c>
      <c r="AF21" s="177">
        <f t="shared" si="8"/>
        <v>208</v>
      </c>
      <c r="AG21" s="177">
        <f t="shared" si="9"/>
        <v>188</v>
      </c>
      <c r="AH21" s="177">
        <f t="shared" si="10"/>
        <v>188</v>
      </c>
      <c r="AI21" s="177">
        <f t="shared" si="11"/>
        <v>188</v>
      </c>
      <c r="AK21" s="125" t="s">
        <v>219</v>
      </c>
      <c r="AL21" s="125" t="s">
        <v>220</v>
      </c>
      <c r="AM21" s="125" t="s">
        <v>221</v>
      </c>
      <c r="AN21" s="125" t="s">
        <v>222</v>
      </c>
    </row>
    <row r="22" spans="15:40" x14ac:dyDescent="0.25">
      <c r="O22" s="180">
        <f t="shared" si="12"/>
        <v>45493</v>
      </c>
      <c r="P22" s="181">
        <f t="shared" si="1"/>
        <v>7</v>
      </c>
      <c r="Q22" s="26" t="s">
        <v>82</v>
      </c>
      <c r="R22" s="25" t="s">
        <v>82</v>
      </c>
      <c r="S22" s="25" t="s">
        <v>82</v>
      </c>
      <c r="T22" s="25" t="s">
        <v>82</v>
      </c>
      <c r="U22" s="25" t="s">
        <v>82</v>
      </c>
      <c r="V22" s="180">
        <f t="shared" si="2"/>
        <v>45493</v>
      </c>
      <c r="W22" s="181">
        <f t="shared" si="0"/>
        <v>7</v>
      </c>
      <c r="AD22" s="180">
        <f t="shared" si="13"/>
        <v>45493</v>
      </c>
      <c r="AE22" s="177">
        <f t="shared" si="7"/>
        <v>208</v>
      </c>
      <c r="AF22" s="177">
        <f t="shared" si="8"/>
        <v>208</v>
      </c>
      <c r="AG22" s="177">
        <f t="shared" si="9"/>
        <v>188</v>
      </c>
      <c r="AH22" s="177">
        <f t="shared" si="10"/>
        <v>188</v>
      </c>
      <c r="AI22" s="177">
        <f t="shared" si="11"/>
        <v>188</v>
      </c>
      <c r="AK22" s="125" t="s">
        <v>201</v>
      </c>
      <c r="AL22" s="125" t="s">
        <v>202</v>
      </c>
      <c r="AM22" s="125" t="s">
        <v>203</v>
      </c>
      <c r="AN22" s="125" t="s">
        <v>107</v>
      </c>
    </row>
    <row r="23" spans="15:40" x14ac:dyDescent="0.25">
      <c r="O23" s="180">
        <f t="shared" si="12"/>
        <v>45494</v>
      </c>
      <c r="P23" s="181">
        <f t="shared" si="1"/>
        <v>1</v>
      </c>
      <c r="Q23" s="26" t="s">
        <v>82</v>
      </c>
      <c r="R23" s="25" t="s">
        <v>82</v>
      </c>
      <c r="S23" s="25" t="s">
        <v>82</v>
      </c>
      <c r="T23" s="25" t="s">
        <v>82</v>
      </c>
      <c r="U23" s="25" t="s">
        <v>82</v>
      </c>
      <c r="V23" s="180">
        <f t="shared" si="2"/>
        <v>45494</v>
      </c>
      <c r="W23" s="181">
        <f t="shared" si="0"/>
        <v>1</v>
      </c>
      <c r="AD23" s="180">
        <f t="shared" si="13"/>
        <v>45494</v>
      </c>
      <c r="AE23" s="177">
        <f t="shared" si="7"/>
        <v>208</v>
      </c>
      <c r="AF23" s="177">
        <f t="shared" si="8"/>
        <v>208</v>
      </c>
      <c r="AG23" s="177">
        <f t="shared" si="9"/>
        <v>188</v>
      </c>
      <c r="AH23" s="177">
        <f t="shared" si="10"/>
        <v>188</v>
      </c>
      <c r="AI23" s="177">
        <f t="shared" si="11"/>
        <v>188</v>
      </c>
      <c r="AK23" s="125" t="s">
        <v>331</v>
      </c>
      <c r="AL23" s="125" t="s">
        <v>332</v>
      </c>
      <c r="AM23" s="125" t="s">
        <v>333</v>
      </c>
      <c r="AN23" s="125" t="s">
        <v>222</v>
      </c>
    </row>
    <row r="24" spans="15:40" x14ac:dyDescent="0.25">
      <c r="O24" s="180">
        <f t="shared" si="12"/>
        <v>45495</v>
      </c>
      <c r="P24" s="181">
        <f t="shared" si="1"/>
        <v>2</v>
      </c>
      <c r="Q24" s="26" t="s">
        <v>82</v>
      </c>
      <c r="R24" s="25" t="s">
        <v>82</v>
      </c>
      <c r="S24" s="25" t="s">
        <v>82</v>
      </c>
      <c r="T24" s="25" t="s">
        <v>82</v>
      </c>
      <c r="U24" s="25" t="s">
        <v>82</v>
      </c>
      <c r="V24" s="180">
        <f t="shared" si="2"/>
        <v>45495</v>
      </c>
      <c r="W24" s="181">
        <f t="shared" si="0"/>
        <v>2</v>
      </c>
      <c r="AD24" s="180">
        <f t="shared" si="13"/>
        <v>45495</v>
      </c>
      <c r="AE24" s="177">
        <f t="shared" si="7"/>
        <v>208</v>
      </c>
      <c r="AF24" s="177">
        <f t="shared" si="8"/>
        <v>208</v>
      </c>
      <c r="AG24" s="177">
        <f t="shared" si="9"/>
        <v>188</v>
      </c>
      <c r="AH24" s="177">
        <f t="shared" si="10"/>
        <v>188</v>
      </c>
      <c r="AI24" s="177">
        <f t="shared" si="11"/>
        <v>188</v>
      </c>
      <c r="AK24" s="125" t="s">
        <v>168</v>
      </c>
      <c r="AL24" s="125" t="s">
        <v>169</v>
      </c>
      <c r="AM24" s="125" t="s">
        <v>170</v>
      </c>
      <c r="AN24" s="125" t="s">
        <v>107</v>
      </c>
    </row>
    <row r="25" spans="15:40" x14ac:dyDescent="0.25">
      <c r="O25" s="180">
        <f t="shared" si="12"/>
        <v>45496</v>
      </c>
      <c r="P25" s="181">
        <f t="shared" si="1"/>
        <v>3</v>
      </c>
      <c r="Q25" s="26" t="s">
        <v>82</v>
      </c>
      <c r="R25" s="25" t="s">
        <v>82</v>
      </c>
      <c r="S25" s="25" t="s">
        <v>82</v>
      </c>
      <c r="T25" s="25" t="s">
        <v>82</v>
      </c>
      <c r="U25" s="25" t="s">
        <v>82</v>
      </c>
      <c r="V25" s="180">
        <f t="shared" si="2"/>
        <v>45496</v>
      </c>
      <c r="W25" s="181">
        <f t="shared" si="0"/>
        <v>3</v>
      </c>
      <c r="AD25" s="180">
        <f t="shared" si="13"/>
        <v>45496</v>
      </c>
      <c r="AE25" s="177">
        <f t="shared" si="7"/>
        <v>208</v>
      </c>
      <c r="AF25" s="177">
        <f t="shared" si="8"/>
        <v>208</v>
      </c>
      <c r="AG25" s="177">
        <f t="shared" si="9"/>
        <v>188</v>
      </c>
      <c r="AH25" s="177">
        <f t="shared" si="10"/>
        <v>188</v>
      </c>
      <c r="AI25" s="177">
        <f t="shared" si="11"/>
        <v>188</v>
      </c>
      <c r="AK25" s="125" t="s">
        <v>195</v>
      </c>
      <c r="AL25" s="125" t="s">
        <v>196</v>
      </c>
      <c r="AM25" s="125" t="s">
        <v>197</v>
      </c>
      <c r="AN25" s="125" t="s">
        <v>107</v>
      </c>
    </row>
    <row r="26" spans="15:40" x14ac:dyDescent="0.25">
      <c r="O26" s="180">
        <f t="shared" si="12"/>
        <v>45497</v>
      </c>
      <c r="P26" s="181">
        <f t="shared" si="1"/>
        <v>4</v>
      </c>
      <c r="Q26" s="26" t="s">
        <v>83</v>
      </c>
      <c r="R26" s="26" t="s">
        <v>83</v>
      </c>
      <c r="S26" s="25" t="s">
        <v>83</v>
      </c>
      <c r="T26" s="25" t="s">
        <v>83</v>
      </c>
      <c r="U26" s="25" t="s">
        <v>83</v>
      </c>
      <c r="V26" s="180">
        <f t="shared" si="2"/>
        <v>45497</v>
      </c>
      <c r="W26" s="181">
        <f t="shared" si="0"/>
        <v>4</v>
      </c>
      <c r="AD26" s="180">
        <f t="shared" si="13"/>
        <v>45497</v>
      </c>
      <c r="AE26" s="177">
        <f t="shared" si="7"/>
        <v>208</v>
      </c>
      <c r="AF26" s="177">
        <f t="shared" si="8"/>
        <v>208</v>
      </c>
      <c r="AG26" s="177">
        <f t="shared" si="9"/>
        <v>188</v>
      </c>
      <c r="AH26" s="177">
        <f t="shared" si="10"/>
        <v>188</v>
      </c>
      <c r="AI26" s="177">
        <f t="shared" si="11"/>
        <v>188</v>
      </c>
      <c r="AK26" s="125" t="s">
        <v>223</v>
      </c>
      <c r="AL26" s="125" t="s">
        <v>224</v>
      </c>
      <c r="AM26" s="125" t="s">
        <v>225</v>
      </c>
      <c r="AN26" s="125" t="s">
        <v>222</v>
      </c>
    </row>
    <row r="27" spans="15:40" x14ac:dyDescent="0.25">
      <c r="O27" s="180">
        <f t="shared" si="12"/>
        <v>45498</v>
      </c>
      <c r="P27" s="181">
        <f t="shared" si="1"/>
        <v>5</v>
      </c>
      <c r="Q27" s="26">
        <f t="shared" ref="Q27:R34" si="14">IF(OR($P27=2,$P27=3,$P27=4,$P27=5,$P27=6),1,"")</f>
        <v>1</v>
      </c>
      <c r="R27" s="26">
        <f t="shared" si="14"/>
        <v>1</v>
      </c>
      <c r="S27" s="25" t="s">
        <v>82</v>
      </c>
      <c r="T27" s="25" t="s">
        <v>82</v>
      </c>
      <c r="U27" s="25" t="s">
        <v>82</v>
      </c>
      <c r="V27" s="180">
        <f t="shared" si="2"/>
        <v>45498</v>
      </c>
      <c r="W27" s="181">
        <f t="shared" si="0"/>
        <v>5</v>
      </c>
      <c r="AD27" s="180">
        <f t="shared" si="13"/>
        <v>45498</v>
      </c>
      <c r="AE27" s="177">
        <f t="shared" si="7"/>
        <v>207</v>
      </c>
      <c r="AF27" s="177">
        <f t="shared" si="8"/>
        <v>207</v>
      </c>
      <c r="AG27" s="177">
        <f t="shared" si="9"/>
        <v>188</v>
      </c>
      <c r="AH27" s="177">
        <f t="shared" si="10"/>
        <v>188</v>
      </c>
      <c r="AI27" s="177">
        <f t="shared" si="11"/>
        <v>188</v>
      </c>
      <c r="AK27" s="125" t="s">
        <v>152</v>
      </c>
      <c r="AL27" s="125" t="s">
        <v>153</v>
      </c>
      <c r="AM27" s="125" t="s">
        <v>153</v>
      </c>
      <c r="AN27" s="125" t="s">
        <v>107</v>
      </c>
    </row>
    <row r="28" spans="15:40" x14ac:dyDescent="0.25">
      <c r="O28" s="180">
        <f t="shared" si="12"/>
        <v>45499</v>
      </c>
      <c r="P28" s="181">
        <f t="shared" si="1"/>
        <v>6</v>
      </c>
      <c r="Q28" s="26">
        <f t="shared" si="14"/>
        <v>1</v>
      </c>
      <c r="R28" s="26">
        <f t="shared" si="14"/>
        <v>1</v>
      </c>
      <c r="S28" s="25" t="s">
        <v>82</v>
      </c>
      <c r="T28" s="25" t="s">
        <v>82</v>
      </c>
      <c r="U28" s="25" t="s">
        <v>82</v>
      </c>
      <c r="V28" s="180">
        <f t="shared" si="2"/>
        <v>45499</v>
      </c>
      <c r="W28" s="181">
        <f t="shared" si="0"/>
        <v>6</v>
      </c>
      <c r="AD28" s="180">
        <f t="shared" si="13"/>
        <v>45499</v>
      </c>
      <c r="AE28" s="177">
        <f t="shared" si="7"/>
        <v>206</v>
      </c>
      <c r="AF28" s="177">
        <f t="shared" si="8"/>
        <v>206</v>
      </c>
      <c r="AG28" s="177">
        <f t="shared" si="9"/>
        <v>188</v>
      </c>
      <c r="AH28" s="177">
        <f t="shared" si="10"/>
        <v>188</v>
      </c>
      <c r="AI28" s="177">
        <f t="shared" si="11"/>
        <v>188</v>
      </c>
      <c r="AK28" s="125" t="s">
        <v>143</v>
      </c>
      <c r="AL28" s="125" t="s">
        <v>144</v>
      </c>
      <c r="AM28" s="125" t="s">
        <v>145</v>
      </c>
      <c r="AN28" s="125" t="s">
        <v>107</v>
      </c>
    </row>
    <row r="29" spans="15:40" x14ac:dyDescent="0.25">
      <c r="O29" s="180">
        <f t="shared" si="12"/>
        <v>45500</v>
      </c>
      <c r="P29" s="181">
        <f t="shared" si="1"/>
        <v>7</v>
      </c>
      <c r="Q29" s="26" t="str">
        <f t="shared" si="14"/>
        <v/>
      </c>
      <c r="R29" s="26" t="str">
        <f t="shared" si="14"/>
        <v/>
      </c>
      <c r="S29" s="25" t="s">
        <v>82</v>
      </c>
      <c r="T29" s="25" t="s">
        <v>82</v>
      </c>
      <c r="U29" s="25" t="s">
        <v>82</v>
      </c>
      <c r="V29" s="180">
        <f t="shared" si="2"/>
        <v>45500</v>
      </c>
      <c r="W29" s="181">
        <f t="shared" si="0"/>
        <v>7</v>
      </c>
      <c r="AD29" s="180">
        <f t="shared" si="13"/>
        <v>45500</v>
      </c>
      <c r="AE29" s="177">
        <f t="shared" si="7"/>
        <v>206</v>
      </c>
      <c r="AF29" s="177">
        <f t="shared" si="8"/>
        <v>206</v>
      </c>
      <c r="AG29" s="177">
        <f t="shared" si="9"/>
        <v>188</v>
      </c>
      <c r="AH29" s="177">
        <f t="shared" si="10"/>
        <v>188</v>
      </c>
      <c r="AI29" s="177">
        <f t="shared" si="11"/>
        <v>188</v>
      </c>
      <c r="AK29" s="125" t="s">
        <v>325</v>
      </c>
      <c r="AL29" s="125" t="s">
        <v>326</v>
      </c>
      <c r="AM29" s="125" t="s">
        <v>327</v>
      </c>
      <c r="AN29" s="125" t="s">
        <v>222</v>
      </c>
    </row>
    <row r="30" spans="15:40" x14ac:dyDescent="0.25">
      <c r="O30" s="180">
        <f t="shared" si="12"/>
        <v>45501</v>
      </c>
      <c r="P30" s="181">
        <f t="shared" si="1"/>
        <v>1</v>
      </c>
      <c r="Q30" s="26" t="str">
        <f t="shared" si="14"/>
        <v/>
      </c>
      <c r="R30" s="26" t="str">
        <f t="shared" si="14"/>
        <v/>
      </c>
      <c r="S30" s="25" t="s">
        <v>82</v>
      </c>
      <c r="T30" s="25" t="s">
        <v>82</v>
      </c>
      <c r="U30" s="25" t="s">
        <v>82</v>
      </c>
      <c r="V30" s="180">
        <f t="shared" si="2"/>
        <v>45501</v>
      </c>
      <c r="W30" s="181">
        <f t="shared" si="0"/>
        <v>1</v>
      </c>
      <c r="AD30" s="180">
        <f t="shared" si="13"/>
        <v>45501</v>
      </c>
      <c r="AE30" s="177">
        <f t="shared" si="7"/>
        <v>206</v>
      </c>
      <c r="AF30" s="177">
        <f t="shared" si="8"/>
        <v>206</v>
      </c>
      <c r="AG30" s="177">
        <f t="shared" si="9"/>
        <v>188</v>
      </c>
      <c r="AH30" s="177">
        <f t="shared" si="10"/>
        <v>188</v>
      </c>
      <c r="AI30" s="177">
        <f t="shared" si="11"/>
        <v>188</v>
      </c>
      <c r="AK30" s="125" t="s">
        <v>371</v>
      </c>
      <c r="AL30" s="125" t="s">
        <v>372</v>
      </c>
      <c r="AM30" s="125" t="s">
        <v>373</v>
      </c>
      <c r="AN30" s="125" t="s">
        <v>374</v>
      </c>
    </row>
    <row r="31" spans="15:40" x14ac:dyDescent="0.25">
      <c r="O31" s="180">
        <f t="shared" si="12"/>
        <v>45502</v>
      </c>
      <c r="P31" s="181">
        <f t="shared" si="1"/>
        <v>2</v>
      </c>
      <c r="Q31" s="26">
        <f t="shared" si="14"/>
        <v>1</v>
      </c>
      <c r="R31" s="26">
        <f t="shared" si="14"/>
        <v>1</v>
      </c>
      <c r="S31" s="25" t="s">
        <v>82</v>
      </c>
      <c r="T31" s="25" t="s">
        <v>82</v>
      </c>
      <c r="U31" s="25" t="s">
        <v>82</v>
      </c>
      <c r="V31" s="180">
        <f t="shared" si="2"/>
        <v>45502</v>
      </c>
      <c r="W31" s="181">
        <f t="shared" si="0"/>
        <v>2</v>
      </c>
      <c r="AD31" s="180">
        <f t="shared" si="13"/>
        <v>45502</v>
      </c>
      <c r="AE31" s="177">
        <f t="shared" si="7"/>
        <v>205</v>
      </c>
      <c r="AF31" s="177">
        <f t="shared" si="8"/>
        <v>205</v>
      </c>
      <c r="AG31" s="177">
        <f t="shared" si="9"/>
        <v>188</v>
      </c>
      <c r="AH31" s="177">
        <f t="shared" si="10"/>
        <v>188</v>
      </c>
      <c r="AI31" s="177">
        <f t="shared" si="11"/>
        <v>188</v>
      </c>
      <c r="AK31" s="125" t="s">
        <v>362</v>
      </c>
      <c r="AL31" s="125" t="s">
        <v>363</v>
      </c>
      <c r="AM31" s="125" t="s">
        <v>364</v>
      </c>
      <c r="AN31" s="125" t="s">
        <v>337</v>
      </c>
    </row>
    <row r="32" spans="15:40" x14ac:dyDescent="0.25">
      <c r="O32" s="180">
        <f t="shared" si="12"/>
        <v>45503</v>
      </c>
      <c r="P32" s="181">
        <f t="shared" si="1"/>
        <v>3</v>
      </c>
      <c r="Q32" s="26">
        <f t="shared" si="14"/>
        <v>1</v>
      </c>
      <c r="R32" s="26">
        <f t="shared" si="14"/>
        <v>1</v>
      </c>
      <c r="S32" s="25" t="s">
        <v>82</v>
      </c>
      <c r="T32" s="25" t="s">
        <v>82</v>
      </c>
      <c r="U32" s="25" t="s">
        <v>82</v>
      </c>
      <c r="V32" s="180">
        <f t="shared" si="2"/>
        <v>45503</v>
      </c>
      <c r="W32" s="181">
        <f t="shared" si="0"/>
        <v>3</v>
      </c>
      <c r="AD32" s="180">
        <f t="shared" si="13"/>
        <v>45503</v>
      </c>
      <c r="AE32" s="177">
        <f t="shared" si="7"/>
        <v>204</v>
      </c>
      <c r="AF32" s="177">
        <f t="shared" si="8"/>
        <v>204</v>
      </c>
      <c r="AG32" s="177">
        <f t="shared" si="9"/>
        <v>188</v>
      </c>
      <c r="AH32" s="177">
        <f t="shared" si="10"/>
        <v>188</v>
      </c>
      <c r="AI32" s="177">
        <f t="shared" si="11"/>
        <v>188</v>
      </c>
      <c r="AK32" s="125" t="s">
        <v>183</v>
      </c>
      <c r="AL32" s="125" t="s">
        <v>184</v>
      </c>
      <c r="AM32" s="125" t="s">
        <v>185</v>
      </c>
      <c r="AN32" s="125" t="s">
        <v>107</v>
      </c>
    </row>
    <row r="33" spans="15:40" x14ac:dyDescent="0.25">
      <c r="O33" s="180">
        <f t="shared" si="12"/>
        <v>45504</v>
      </c>
      <c r="P33" s="181">
        <f t="shared" si="1"/>
        <v>4</v>
      </c>
      <c r="Q33" s="26">
        <f t="shared" si="14"/>
        <v>1</v>
      </c>
      <c r="R33" s="26">
        <f t="shared" si="14"/>
        <v>1</v>
      </c>
      <c r="S33" s="25" t="s">
        <v>82</v>
      </c>
      <c r="T33" s="25" t="s">
        <v>82</v>
      </c>
      <c r="U33" s="25" t="s">
        <v>82</v>
      </c>
      <c r="V33" s="180">
        <f t="shared" si="2"/>
        <v>45504</v>
      </c>
      <c r="W33" s="181">
        <f t="shared" si="0"/>
        <v>4</v>
      </c>
      <c r="AD33" s="180">
        <f t="shared" si="13"/>
        <v>45504</v>
      </c>
      <c r="AE33" s="177">
        <f t="shared" si="7"/>
        <v>203</v>
      </c>
      <c r="AF33" s="177">
        <f t="shared" si="8"/>
        <v>203</v>
      </c>
      <c r="AG33" s="177">
        <f t="shared" si="9"/>
        <v>188</v>
      </c>
      <c r="AH33" s="177">
        <f t="shared" si="10"/>
        <v>188</v>
      </c>
      <c r="AI33" s="177">
        <f t="shared" si="11"/>
        <v>188</v>
      </c>
      <c r="AK33" s="125" t="s">
        <v>216</v>
      </c>
      <c r="AL33" s="125" t="s">
        <v>217</v>
      </c>
      <c r="AM33" s="125" t="s">
        <v>218</v>
      </c>
      <c r="AN33" s="125" t="s">
        <v>107</v>
      </c>
    </row>
    <row r="34" spans="15:40" x14ac:dyDescent="0.25">
      <c r="O34" s="180">
        <f t="shared" si="12"/>
        <v>45505</v>
      </c>
      <c r="P34" s="181">
        <f t="shared" si="1"/>
        <v>5</v>
      </c>
      <c r="Q34" s="26">
        <f t="shared" si="14"/>
        <v>1</v>
      </c>
      <c r="R34" s="26">
        <f t="shared" si="14"/>
        <v>1</v>
      </c>
      <c r="S34" s="25" t="s">
        <v>82</v>
      </c>
      <c r="T34" s="25" t="s">
        <v>82</v>
      </c>
      <c r="U34" s="25" t="s">
        <v>82</v>
      </c>
      <c r="V34" s="180">
        <f t="shared" si="2"/>
        <v>45505</v>
      </c>
      <c r="W34" s="181">
        <f t="shared" si="0"/>
        <v>5</v>
      </c>
      <c r="AD34" s="180">
        <f t="shared" si="13"/>
        <v>45505</v>
      </c>
      <c r="AE34" s="177">
        <f t="shared" si="7"/>
        <v>202</v>
      </c>
      <c r="AF34" s="177">
        <f t="shared" si="8"/>
        <v>202</v>
      </c>
      <c r="AG34" s="177">
        <f t="shared" si="9"/>
        <v>188</v>
      </c>
      <c r="AH34" s="177">
        <f t="shared" si="10"/>
        <v>188</v>
      </c>
      <c r="AI34" s="177">
        <f t="shared" si="11"/>
        <v>188</v>
      </c>
      <c r="AK34" s="125" t="s">
        <v>229</v>
      </c>
      <c r="AL34" s="125" t="s">
        <v>230</v>
      </c>
      <c r="AM34" s="125" t="s">
        <v>231</v>
      </c>
      <c r="AN34" s="125" t="s">
        <v>222</v>
      </c>
    </row>
    <row r="35" spans="15:40" x14ac:dyDescent="0.25">
      <c r="O35" s="180">
        <f t="shared" si="12"/>
        <v>45506</v>
      </c>
      <c r="P35" s="181">
        <f t="shared" si="1"/>
        <v>6</v>
      </c>
      <c r="Q35" s="26">
        <f t="shared" ref="Q35:U90" si="15">IF(OR($P35=2,$P35=3,$P35=4,$P35=5,$P35=6),1,"")</f>
        <v>1</v>
      </c>
      <c r="R35" s="26">
        <f t="shared" si="15"/>
        <v>1</v>
      </c>
      <c r="S35" s="25" t="s">
        <v>82</v>
      </c>
      <c r="T35" s="25" t="s">
        <v>82</v>
      </c>
      <c r="U35" s="25" t="s">
        <v>82</v>
      </c>
      <c r="V35" s="180">
        <f t="shared" si="2"/>
        <v>45506</v>
      </c>
      <c r="W35" s="181">
        <f t="shared" si="0"/>
        <v>6</v>
      </c>
      <c r="AD35" s="180">
        <f t="shared" si="13"/>
        <v>45506</v>
      </c>
      <c r="AE35" s="177">
        <f t="shared" si="7"/>
        <v>201</v>
      </c>
      <c r="AF35" s="177">
        <f t="shared" si="8"/>
        <v>201</v>
      </c>
      <c r="AG35" s="177">
        <f t="shared" si="9"/>
        <v>188</v>
      </c>
      <c r="AH35" s="177">
        <f t="shared" si="10"/>
        <v>188</v>
      </c>
      <c r="AI35" s="177">
        <f t="shared" si="11"/>
        <v>188</v>
      </c>
      <c r="AK35" s="125" t="s">
        <v>129</v>
      </c>
      <c r="AL35" s="125" t="s">
        <v>130</v>
      </c>
      <c r="AM35" s="125" t="s">
        <v>131</v>
      </c>
      <c r="AN35" s="125" t="s">
        <v>107</v>
      </c>
    </row>
    <row r="36" spans="15:40" x14ac:dyDescent="0.25">
      <c r="O36" s="180">
        <f t="shared" si="12"/>
        <v>45507</v>
      </c>
      <c r="P36" s="181">
        <f t="shared" si="1"/>
        <v>7</v>
      </c>
      <c r="Q36" s="26" t="str">
        <f t="shared" ref="Q36:U99" si="16">IF(OR($P36=2,$P36=3,$P36=4,$P36=5,$P36=6),1,"")</f>
        <v/>
      </c>
      <c r="R36" s="26" t="str">
        <f t="shared" si="15"/>
        <v/>
      </c>
      <c r="S36" s="25" t="s">
        <v>82</v>
      </c>
      <c r="T36" s="25" t="s">
        <v>82</v>
      </c>
      <c r="U36" s="25" t="s">
        <v>82</v>
      </c>
      <c r="V36" s="180">
        <f t="shared" si="2"/>
        <v>45507</v>
      </c>
      <c r="W36" s="181">
        <f t="shared" si="0"/>
        <v>7</v>
      </c>
      <c r="AD36" s="180">
        <f t="shared" si="13"/>
        <v>45507</v>
      </c>
      <c r="AE36" s="177">
        <f t="shared" si="7"/>
        <v>201</v>
      </c>
      <c r="AF36" s="177">
        <f t="shared" si="8"/>
        <v>201</v>
      </c>
      <c r="AG36" s="177">
        <f t="shared" si="9"/>
        <v>188</v>
      </c>
      <c r="AH36" s="177">
        <f t="shared" si="10"/>
        <v>188</v>
      </c>
      <c r="AI36" s="177">
        <f t="shared" si="11"/>
        <v>188</v>
      </c>
      <c r="AK36" s="125" t="s">
        <v>235</v>
      </c>
      <c r="AL36" s="125" t="s">
        <v>236</v>
      </c>
      <c r="AM36" s="125" t="s">
        <v>237</v>
      </c>
      <c r="AN36" s="125" t="s">
        <v>222</v>
      </c>
    </row>
    <row r="37" spans="15:40" x14ac:dyDescent="0.25">
      <c r="O37" s="180">
        <f t="shared" si="12"/>
        <v>45508</v>
      </c>
      <c r="P37" s="181">
        <f t="shared" si="1"/>
        <v>1</v>
      </c>
      <c r="Q37" s="26" t="str">
        <f t="shared" si="16"/>
        <v/>
      </c>
      <c r="R37" s="26" t="str">
        <f t="shared" si="15"/>
        <v/>
      </c>
      <c r="S37" s="25" t="s">
        <v>82</v>
      </c>
      <c r="T37" s="25" t="s">
        <v>82</v>
      </c>
      <c r="U37" s="25" t="s">
        <v>82</v>
      </c>
      <c r="V37" s="180">
        <f t="shared" si="2"/>
        <v>45508</v>
      </c>
      <c r="W37" s="181">
        <f t="shared" si="0"/>
        <v>1</v>
      </c>
      <c r="AD37" s="180">
        <f t="shared" si="13"/>
        <v>45508</v>
      </c>
      <c r="AE37" s="177">
        <f t="shared" si="7"/>
        <v>201</v>
      </c>
      <c r="AF37" s="177">
        <f t="shared" si="8"/>
        <v>201</v>
      </c>
      <c r="AG37" s="177">
        <f t="shared" si="9"/>
        <v>188</v>
      </c>
      <c r="AH37" s="177">
        <f t="shared" si="10"/>
        <v>188</v>
      </c>
      <c r="AI37" s="177">
        <f t="shared" si="11"/>
        <v>188</v>
      </c>
      <c r="AK37" s="125" t="s">
        <v>171</v>
      </c>
      <c r="AL37" s="125" t="s">
        <v>423</v>
      </c>
      <c r="AM37" s="125" t="s">
        <v>424</v>
      </c>
      <c r="AN37" s="125" t="s">
        <v>107</v>
      </c>
    </row>
    <row r="38" spans="15:40" x14ac:dyDescent="0.25">
      <c r="O38" s="180">
        <f t="shared" si="12"/>
        <v>45509</v>
      </c>
      <c r="P38" s="181">
        <f t="shared" si="1"/>
        <v>2</v>
      </c>
      <c r="Q38" s="26">
        <f t="shared" si="16"/>
        <v>1</v>
      </c>
      <c r="R38" s="26">
        <f t="shared" si="15"/>
        <v>1</v>
      </c>
      <c r="S38" s="25" t="s">
        <v>82</v>
      </c>
      <c r="T38" s="25" t="s">
        <v>82</v>
      </c>
      <c r="U38" s="25" t="s">
        <v>82</v>
      </c>
      <c r="V38" s="180">
        <f t="shared" si="2"/>
        <v>45509</v>
      </c>
      <c r="W38" s="181">
        <f t="shared" si="0"/>
        <v>2</v>
      </c>
      <c r="AD38" s="180">
        <f t="shared" si="13"/>
        <v>45509</v>
      </c>
      <c r="AE38" s="177">
        <f t="shared" si="7"/>
        <v>200</v>
      </c>
      <c r="AF38" s="177">
        <f t="shared" si="8"/>
        <v>200</v>
      </c>
      <c r="AG38" s="177">
        <f t="shared" si="9"/>
        <v>188</v>
      </c>
      <c r="AH38" s="177">
        <f t="shared" si="10"/>
        <v>188</v>
      </c>
      <c r="AI38" s="177">
        <f t="shared" si="11"/>
        <v>188</v>
      </c>
      <c r="AK38" s="125" t="s">
        <v>247</v>
      </c>
      <c r="AL38" s="125" t="s">
        <v>248</v>
      </c>
      <c r="AM38" s="125" t="s">
        <v>249</v>
      </c>
      <c r="AN38" s="125" t="s">
        <v>222</v>
      </c>
    </row>
    <row r="39" spans="15:40" x14ac:dyDescent="0.25">
      <c r="O39" s="180">
        <f t="shared" si="12"/>
        <v>45510</v>
      </c>
      <c r="P39" s="181">
        <f t="shared" si="1"/>
        <v>3</v>
      </c>
      <c r="Q39" s="26">
        <f t="shared" si="16"/>
        <v>1</v>
      </c>
      <c r="R39" s="26">
        <f t="shared" si="15"/>
        <v>1</v>
      </c>
      <c r="S39" s="25" t="s">
        <v>82</v>
      </c>
      <c r="T39" s="25" t="s">
        <v>82</v>
      </c>
      <c r="U39" s="25" t="s">
        <v>82</v>
      </c>
      <c r="V39" s="180">
        <f t="shared" si="2"/>
        <v>45510</v>
      </c>
      <c r="W39" s="181">
        <f t="shared" si="0"/>
        <v>3</v>
      </c>
      <c r="AD39" s="180">
        <f t="shared" si="13"/>
        <v>45510</v>
      </c>
      <c r="AE39" s="177">
        <f t="shared" si="7"/>
        <v>199</v>
      </c>
      <c r="AF39" s="177">
        <f t="shared" si="8"/>
        <v>199</v>
      </c>
      <c r="AG39" s="177">
        <f t="shared" si="9"/>
        <v>188</v>
      </c>
      <c r="AH39" s="177">
        <f t="shared" si="10"/>
        <v>188</v>
      </c>
      <c r="AI39" s="177">
        <f t="shared" si="11"/>
        <v>188</v>
      </c>
      <c r="AK39" s="125" t="s">
        <v>347</v>
      </c>
      <c r="AL39" s="125" t="s">
        <v>348</v>
      </c>
      <c r="AM39" s="125" t="s">
        <v>349</v>
      </c>
      <c r="AN39" s="125" t="s">
        <v>337</v>
      </c>
    </row>
    <row r="40" spans="15:40" x14ac:dyDescent="0.25">
      <c r="O40" s="180">
        <f t="shared" si="12"/>
        <v>45511</v>
      </c>
      <c r="P40" s="181">
        <f t="shared" si="1"/>
        <v>4</v>
      </c>
      <c r="Q40" s="26">
        <f t="shared" si="16"/>
        <v>1</v>
      </c>
      <c r="R40" s="26">
        <f t="shared" si="15"/>
        <v>1</v>
      </c>
      <c r="S40" s="25" t="s">
        <v>82</v>
      </c>
      <c r="T40" s="25" t="s">
        <v>82</v>
      </c>
      <c r="U40" s="25" t="s">
        <v>82</v>
      </c>
      <c r="V40" s="180">
        <f t="shared" si="2"/>
        <v>45511</v>
      </c>
      <c r="W40" s="181">
        <f t="shared" si="0"/>
        <v>4</v>
      </c>
      <c r="AD40" s="180">
        <f t="shared" si="13"/>
        <v>45511</v>
      </c>
      <c r="AE40" s="177">
        <f t="shared" si="7"/>
        <v>198</v>
      </c>
      <c r="AF40" s="177">
        <f t="shared" si="8"/>
        <v>198</v>
      </c>
      <c r="AG40" s="177">
        <f t="shared" si="9"/>
        <v>188</v>
      </c>
      <c r="AH40" s="177">
        <f t="shared" si="10"/>
        <v>188</v>
      </c>
      <c r="AI40" s="177">
        <f t="shared" si="11"/>
        <v>188</v>
      </c>
      <c r="AK40" s="125" t="s">
        <v>172</v>
      </c>
      <c r="AL40" s="125" t="s">
        <v>173</v>
      </c>
      <c r="AM40" s="125" t="s">
        <v>173</v>
      </c>
      <c r="AN40" s="125" t="s">
        <v>107</v>
      </c>
    </row>
    <row r="41" spans="15:40" x14ac:dyDescent="0.25">
      <c r="O41" s="180">
        <f t="shared" si="12"/>
        <v>45512</v>
      </c>
      <c r="P41" s="181">
        <f t="shared" si="1"/>
        <v>5</v>
      </c>
      <c r="Q41" s="26">
        <f t="shared" si="16"/>
        <v>1</v>
      </c>
      <c r="R41" s="26">
        <f t="shared" si="15"/>
        <v>1</v>
      </c>
      <c r="S41" s="25" t="s">
        <v>82</v>
      </c>
      <c r="T41" s="25" t="s">
        <v>82</v>
      </c>
      <c r="U41" s="25" t="s">
        <v>82</v>
      </c>
      <c r="V41" s="180">
        <f t="shared" si="2"/>
        <v>45512</v>
      </c>
      <c r="W41" s="181">
        <f t="shared" si="0"/>
        <v>5</v>
      </c>
      <c r="AD41" s="180">
        <f t="shared" si="13"/>
        <v>45512</v>
      </c>
      <c r="AE41" s="177">
        <f t="shared" si="7"/>
        <v>197</v>
      </c>
      <c r="AF41" s="177">
        <f t="shared" si="8"/>
        <v>197</v>
      </c>
      <c r="AG41" s="177">
        <f t="shared" si="9"/>
        <v>188</v>
      </c>
      <c r="AH41" s="177">
        <f t="shared" si="10"/>
        <v>188</v>
      </c>
      <c r="AI41" s="177">
        <f t="shared" si="11"/>
        <v>188</v>
      </c>
      <c r="AK41" s="125" t="s">
        <v>192</v>
      </c>
      <c r="AL41" s="125" t="s">
        <v>193</v>
      </c>
      <c r="AM41" s="125" t="s">
        <v>194</v>
      </c>
      <c r="AN41" s="125" t="s">
        <v>107</v>
      </c>
    </row>
    <row r="42" spans="15:40" x14ac:dyDescent="0.25">
      <c r="O42" s="180">
        <f t="shared" si="12"/>
        <v>45513</v>
      </c>
      <c r="P42" s="181">
        <f t="shared" si="1"/>
        <v>6</v>
      </c>
      <c r="Q42" s="26">
        <f t="shared" si="16"/>
        <v>1</v>
      </c>
      <c r="R42" s="26">
        <f t="shared" si="15"/>
        <v>1</v>
      </c>
      <c r="S42" s="25" t="s">
        <v>82</v>
      </c>
      <c r="T42" s="25" t="s">
        <v>82</v>
      </c>
      <c r="U42" s="25" t="s">
        <v>82</v>
      </c>
      <c r="V42" s="180">
        <f t="shared" si="2"/>
        <v>45513</v>
      </c>
      <c r="W42" s="181">
        <f t="shared" si="0"/>
        <v>6</v>
      </c>
      <c r="AD42" s="180">
        <f t="shared" si="13"/>
        <v>45513</v>
      </c>
      <c r="AE42" s="177">
        <f t="shared" si="7"/>
        <v>196</v>
      </c>
      <c r="AF42" s="177">
        <f t="shared" si="8"/>
        <v>196</v>
      </c>
      <c r="AG42" s="177">
        <f t="shared" si="9"/>
        <v>188</v>
      </c>
      <c r="AH42" s="177">
        <f t="shared" si="10"/>
        <v>188</v>
      </c>
      <c r="AI42" s="177">
        <f t="shared" si="11"/>
        <v>188</v>
      </c>
      <c r="AK42" s="125" t="s">
        <v>253</v>
      </c>
      <c r="AL42" s="125" t="s">
        <v>254</v>
      </c>
      <c r="AM42" s="125" t="s">
        <v>255</v>
      </c>
      <c r="AN42" s="125" t="s">
        <v>222</v>
      </c>
    </row>
    <row r="43" spans="15:40" x14ac:dyDescent="0.25">
      <c r="O43" s="180">
        <f t="shared" si="12"/>
        <v>45514</v>
      </c>
      <c r="P43" s="181">
        <f t="shared" si="1"/>
        <v>7</v>
      </c>
      <c r="Q43" s="26" t="str">
        <f t="shared" si="16"/>
        <v/>
      </c>
      <c r="R43" s="26" t="str">
        <f t="shared" si="15"/>
        <v/>
      </c>
      <c r="S43" s="26" t="s">
        <v>82</v>
      </c>
      <c r="T43" s="26" t="s">
        <v>82</v>
      </c>
      <c r="U43" s="26" t="s">
        <v>82</v>
      </c>
      <c r="V43" s="180">
        <f t="shared" si="2"/>
        <v>45514</v>
      </c>
      <c r="W43" s="181">
        <f t="shared" si="0"/>
        <v>7</v>
      </c>
      <c r="AD43" s="180">
        <f t="shared" si="13"/>
        <v>45514</v>
      </c>
      <c r="AE43" s="177">
        <f t="shared" si="7"/>
        <v>196</v>
      </c>
      <c r="AF43" s="177">
        <f t="shared" si="8"/>
        <v>196</v>
      </c>
      <c r="AG43" s="177">
        <f t="shared" si="9"/>
        <v>188</v>
      </c>
      <c r="AH43" s="177">
        <f t="shared" si="10"/>
        <v>188</v>
      </c>
      <c r="AI43" s="177">
        <f t="shared" si="11"/>
        <v>188</v>
      </c>
      <c r="AK43" s="125" t="s">
        <v>214</v>
      </c>
      <c r="AL43" s="125" t="s">
        <v>215</v>
      </c>
      <c r="AM43" s="125" t="s">
        <v>215</v>
      </c>
      <c r="AN43" s="125" t="s">
        <v>107</v>
      </c>
    </row>
    <row r="44" spans="15:40" x14ac:dyDescent="0.25">
      <c r="O44" s="180">
        <f t="shared" si="12"/>
        <v>45515</v>
      </c>
      <c r="P44" s="181">
        <f t="shared" si="1"/>
        <v>1</v>
      </c>
      <c r="Q44" s="26" t="str">
        <f t="shared" si="16"/>
        <v/>
      </c>
      <c r="R44" s="26" t="str">
        <f t="shared" si="15"/>
        <v/>
      </c>
      <c r="S44" s="26" t="s">
        <v>82</v>
      </c>
      <c r="T44" s="26" t="s">
        <v>82</v>
      </c>
      <c r="U44" s="26" t="s">
        <v>82</v>
      </c>
      <c r="V44" s="180">
        <f t="shared" si="2"/>
        <v>45515</v>
      </c>
      <c r="W44" s="181">
        <f t="shared" si="0"/>
        <v>1</v>
      </c>
      <c r="AD44" s="180">
        <f t="shared" si="13"/>
        <v>45515</v>
      </c>
      <c r="AE44" s="177">
        <f t="shared" si="7"/>
        <v>196</v>
      </c>
      <c r="AF44" s="177">
        <f t="shared" si="8"/>
        <v>196</v>
      </c>
      <c r="AG44" s="177">
        <f t="shared" si="9"/>
        <v>188</v>
      </c>
      <c r="AH44" s="177">
        <f t="shared" si="10"/>
        <v>188</v>
      </c>
      <c r="AI44" s="177">
        <f t="shared" si="11"/>
        <v>188</v>
      </c>
      <c r="AK44" s="125" t="s">
        <v>328</v>
      </c>
      <c r="AL44" s="125" t="s">
        <v>329</v>
      </c>
      <c r="AM44" s="125" t="s">
        <v>330</v>
      </c>
      <c r="AN44" s="125" t="s">
        <v>222</v>
      </c>
    </row>
    <row r="45" spans="15:40" x14ac:dyDescent="0.25">
      <c r="O45" s="180">
        <f t="shared" si="12"/>
        <v>45516</v>
      </c>
      <c r="P45" s="181">
        <f t="shared" si="1"/>
        <v>2</v>
      </c>
      <c r="Q45" s="26">
        <f t="shared" si="16"/>
        <v>1</v>
      </c>
      <c r="R45" s="26">
        <f t="shared" si="15"/>
        <v>1</v>
      </c>
      <c r="S45" s="26">
        <f t="shared" si="15"/>
        <v>1</v>
      </c>
      <c r="T45" s="26">
        <f t="shared" si="15"/>
        <v>1</v>
      </c>
      <c r="U45" s="26">
        <f t="shared" si="15"/>
        <v>1</v>
      </c>
      <c r="V45" s="180">
        <f t="shared" si="2"/>
        <v>45516</v>
      </c>
      <c r="W45" s="181">
        <f t="shared" si="0"/>
        <v>2</v>
      </c>
      <c r="AD45" s="180">
        <f t="shared" si="13"/>
        <v>45516</v>
      </c>
      <c r="AE45" s="177">
        <f t="shared" si="7"/>
        <v>195</v>
      </c>
      <c r="AF45" s="177">
        <f t="shared" si="8"/>
        <v>195</v>
      </c>
      <c r="AG45" s="177">
        <f t="shared" si="9"/>
        <v>187</v>
      </c>
      <c r="AH45" s="177">
        <f t="shared" si="10"/>
        <v>187</v>
      </c>
      <c r="AI45" s="177">
        <f t="shared" si="11"/>
        <v>187</v>
      </c>
      <c r="AK45" s="125" t="s">
        <v>241</v>
      </c>
      <c r="AL45" s="125" t="s">
        <v>242</v>
      </c>
      <c r="AM45" s="125" t="s">
        <v>243</v>
      </c>
      <c r="AN45" s="125" t="s">
        <v>222</v>
      </c>
    </row>
    <row r="46" spans="15:40" x14ac:dyDescent="0.25">
      <c r="O46" s="180">
        <f t="shared" si="12"/>
        <v>45517</v>
      </c>
      <c r="P46" s="181">
        <f t="shared" si="1"/>
        <v>3</v>
      </c>
      <c r="Q46" s="26">
        <f t="shared" si="16"/>
        <v>1</v>
      </c>
      <c r="R46" s="26">
        <f t="shared" si="15"/>
        <v>1</v>
      </c>
      <c r="S46" s="26">
        <f t="shared" si="15"/>
        <v>1</v>
      </c>
      <c r="T46" s="26">
        <f t="shared" si="15"/>
        <v>1</v>
      </c>
      <c r="U46" s="26">
        <f t="shared" si="15"/>
        <v>1</v>
      </c>
      <c r="V46" s="180">
        <f t="shared" si="2"/>
        <v>45517</v>
      </c>
      <c r="W46" s="181">
        <f t="shared" si="0"/>
        <v>3</v>
      </c>
      <c r="AD46" s="180">
        <f t="shared" si="13"/>
        <v>45517</v>
      </c>
      <c r="AE46" s="177">
        <f t="shared" si="7"/>
        <v>194</v>
      </c>
      <c r="AF46" s="177">
        <f t="shared" si="8"/>
        <v>194</v>
      </c>
      <c r="AG46" s="177">
        <f t="shared" si="9"/>
        <v>186</v>
      </c>
      <c r="AH46" s="177">
        <f t="shared" si="10"/>
        <v>186</v>
      </c>
      <c r="AI46" s="177">
        <f t="shared" si="11"/>
        <v>186</v>
      </c>
      <c r="AK46" s="125" t="s">
        <v>359</v>
      </c>
      <c r="AL46" s="125" t="s">
        <v>360</v>
      </c>
      <c r="AM46" s="125" t="s">
        <v>361</v>
      </c>
      <c r="AN46" s="125" t="s">
        <v>337</v>
      </c>
    </row>
    <row r="47" spans="15:40" x14ac:dyDescent="0.25">
      <c r="O47" s="180">
        <f t="shared" si="12"/>
        <v>45518</v>
      </c>
      <c r="P47" s="181">
        <f t="shared" si="1"/>
        <v>4</v>
      </c>
      <c r="Q47" s="26">
        <f t="shared" si="16"/>
        <v>1</v>
      </c>
      <c r="R47" s="26">
        <f t="shared" si="15"/>
        <v>1</v>
      </c>
      <c r="S47" s="26">
        <f t="shared" si="15"/>
        <v>1</v>
      </c>
      <c r="T47" s="26">
        <f t="shared" si="15"/>
        <v>1</v>
      </c>
      <c r="U47" s="26">
        <f t="shared" si="15"/>
        <v>1</v>
      </c>
      <c r="V47" s="180">
        <f t="shared" si="2"/>
        <v>45518</v>
      </c>
      <c r="W47" s="181">
        <f t="shared" si="0"/>
        <v>4</v>
      </c>
      <c r="AD47" s="180">
        <f t="shared" si="13"/>
        <v>45518</v>
      </c>
      <c r="AE47" s="177">
        <f t="shared" si="7"/>
        <v>193</v>
      </c>
      <c r="AF47" s="177">
        <f t="shared" si="8"/>
        <v>193</v>
      </c>
      <c r="AG47" s="177">
        <f t="shared" si="9"/>
        <v>185</v>
      </c>
      <c r="AH47" s="177">
        <f t="shared" si="10"/>
        <v>185</v>
      </c>
      <c r="AI47" s="177">
        <f t="shared" si="11"/>
        <v>185</v>
      </c>
      <c r="AK47" s="125" t="s">
        <v>280</v>
      </c>
      <c r="AL47" s="125" t="s">
        <v>281</v>
      </c>
      <c r="AM47" s="125" t="s">
        <v>282</v>
      </c>
      <c r="AN47" s="125" t="s">
        <v>222</v>
      </c>
    </row>
    <row r="48" spans="15:40" x14ac:dyDescent="0.25">
      <c r="O48" s="180">
        <f t="shared" si="12"/>
        <v>45519</v>
      </c>
      <c r="P48" s="181">
        <f t="shared" si="1"/>
        <v>5</v>
      </c>
      <c r="Q48" s="26">
        <f t="shared" si="16"/>
        <v>1</v>
      </c>
      <c r="R48" s="26">
        <f t="shared" si="15"/>
        <v>1</v>
      </c>
      <c r="S48" s="26">
        <f t="shared" si="15"/>
        <v>1</v>
      </c>
      <c r="T48" s="26">
        <f t="shared" si="15"/>
        <v>1</v>
      </c>
      <c r="U48" s="26">
        <f t="shared" si="15"/>
        <v>1</v>
      </c>
      <c r="V48" s="180">
        <f t="shared" si="2"/>
        <v>45519</v>
      </c>
      <c r="W48" s="181">
        <f t="shared" si="0"/>
        <v>5</v>
      </c>
      <c r="AD48" s="180">
        <f t="shared" si="13"/>
        <v>45519</v>
      </c>
      <c r="AE48" s="177">
        <f t="shared" si="7"/>
        <v>192</v>
      </c>
      <c r="AF48" s="177">
        <f t="shared" si="8"/>
        <v>192</v>
      </c>
      <c r="AG48" s="177">
        <f t="shared" si="9"/>
        <v>184</v>
      </c>
      <c r="AH48" s="177">
        <f t="shared" si="10"/>
        <v>184</v>
      </c>
      <c r="AI48" s="177">
        <f t="shared" si="11"/>
        <v>184</v>
      </c>
      <c r="AK48" s="125" t="s">
        <v>160</v>
      </c>
      <c r="AL48" s="125" t="s">
        <v>161</v>
      </c>
      <c r="AM48" s="125" t="s">
        <v>161</v>
      </c>
      <c r="AN48" s="125" t="s">
        <v>107</v>
      </c>
    </row>
    <row r="49" spans="15:40" x14ac:dyDescent="0.25">
      <c r="O49" s="180">
        <f t="shared" si="12"/>
        <v>45520</v>
      </c>
      <c r="P49" s="181">
        <f t="shared" si="1"/>
        <v>6</v>
      </c>
      <c r="Q49" s="26">
        <f t="shared" si="16"/>
        <v>1</v>
      </c>
      <c r="R49" s="26">
        <f t="shared" si="15"/>
        <v>1</v>
      </c>
      <c r="S49" s="26">
        <f t="shared" si="15"/>
        <v>1</v>
      </c>
      <c r="T49" s="26">
        <f t="shared" si="15"/>
        <v>1</v>
      </c>
      <c r="U49" s="26">
        <f t="shared" si="15"/>
        <v>1</v>
      </c>
      <c r="V49" s="180">
        <f t="shared" si="2"/>
        <v>45520</v>
      </c>
      <c r="W49" s="181">
        <f t="shared" si="0"/>
        <v>6</v>
      </c>
      <c r="AD49" s="180">
        <f t="shared" si="13"/>
        <v>45520</v>
      </c>
      <c r="AE49" s="177">
        <f t="shared" si="7"/>
        <v>191</v>
      </c>
      <c r="AF49" s="177">
        <f t="shared" si="8"/>
        <v>191</v>
      </c>
      <c r="AG49" s="177">
        <f t="shared" si="9"/>
        <v>183</v>
      </c>
      <c r="AH49" s="177">
        <f t="shared" si="10"/>
        <v>183</v>
      </c>
      <c r="AI49" s="177">
        <f t="shared" si="11"/>
        <v>183</v>
      </c>
      <c r="AK49" s="125" t="s">
        <v>259</v>
      </c>
      <c r="AL49" s="125" t="s">
        <v>260</v>
      </c>
      <c r="AM49" s="125" t="s">
        <v>261</v>
      </c>
      <c r="AN49" s="125" t="s">
        <v>222</v>
      </c>
    </row>
    <row r="50" spans="15:40" x14ac:dyDescent="0.25">
      <c r="O50" s="180">
        <f t="shared" si="12"/>
        <v>45521</v>
      </c>
      <c r="P50" s="181">
        <f t="shared" si="1"/>
        <v>7</v>
      </c>
      <c r="Q50" s="26" t="str">
        <f t="shared" si="16"/>
        <v/>
      </c>
      <c r="R50" s="26" t="str">
        <f t="shared" si="15"/>
        <v/>
      </c>
      <c r="S50" s="26" t="str">
        <f t="shared" si="15"/>
        <v/>
      </c>
      <c r="T50" s="26" t="str">
        <f t="shared" si="15"/>
        <v/>
      </c>
      <c r="U50" s="26" t="str">
        <f t="shared" si="15"/>
        <v/>
      </c>
      <c r="V50" s="180">
        <f t="shared" si="2"/>
        <v>45521</v>
      </c>
      <c r="W50" s="181">
        <f t="shared" si="0"/>
        <v>7</v>
      </c>
      <c r="AD50" s="180">
        <f t="shared" si="13"/>
        <v>45521</v>
      </c>
      <c r="AE50" s="177">
        <f t="shared" si="7"/>
        <v>191</v>
      </c>
      <c r="AF50" s="177">
        <f t="shared" si="8"/>
        <v>191</v>
      </c>
      <c r="AG50" s="177">
        <f t="shared" si="9"/>
        <v>183</v>
      </c>
      <c r="AH50" s="177">
        <f t="shared" si="10"/>
        <v>183</v>
      </c>
      <c r="AI50" s="177">
        <f t="shared" si="11"/>
        <v>183</v>
      </c>
      <c r="AK50" s="125" t="s">
        <v>165</v>
      </c>
      <c r="AL50" s="125" t="s">
        <v>166</v>
      </c>
      <c r="AM50" s="125" t="s">
        <v>167</v>
      </c>
      <c r="AN50" s="125" t="s">
        <v>107</v>
      </c>
    </row>
    <row r="51" spans="15:40" x14ac:dyDescent="0.25">
      <c r="O51" s="180">
        <f t="shared" si="12"/>
        <v>45522</v>
      </c>
      <c r="P51" s="181">
        <f t="shared" si="1"/>
        <v>1</v>
      </c>
      <c r="Q51" s="26" t="str">
        <f t="shared" si="16"/>
        <v/>
      </c>
      <c r="R51" s="26" t="str">
        <f t="shared" si="15"/>
        <v/>
      </c>
      <c r="S51" s="26" t="str">
        <f t="shared" si="15"/>
        <v/>
      </c>
      <c r="T51" s="26" t="str">
        <f t="shared" si="15"/>
        <v/>
      </c>
      <c r="U51" s="26" t="str">
        <f t="shared" si="15"/>
        <v/>
      </c>
      <c r="V51" s="180">
        <f t="shared" si="2"/>
        <v>45522</v>
      </c>
      <c r="W51" s="181">
        <f t="shared" si="0"/>
        <v>1</v>
      </c>
      <c r="AD51" s="180">
        <f t="shared" si="13"/>
        <v>45522</v>
      </c>
      <c r="AE51" s="177">
        <f t="shared" si="7"/>
        <v>191</v>
      </c>
      <c r="AF51" s="177">
        <f t="shared" si="8"/>
        <v>191</v>
      </c>
      <c r="AG51" s="177">
        <f t="shared" si="9"/>
        <v>183</v>
      </c>
      <c r="AH51" s="177">
        <f t="shared" si="10"/>
        <v>183</v>
      </c>
      <c r="AI51" s="177">
        <f t="shared" si="11"/>
        <v>183</v>
      </c>
      <c r="AK51" s="125" t="s">
        <v>262</v>
      </c>
      <c r="AL51" s="125" t="s">
        <v>263</v>
      </c>
      <c r="AM51" s="125" t="s">
        <v>264</v>
      </c>
      <c r="AN51" s="125" t="s">
        <v>222</v>
      </c>
    </row>
    <row r="52" spans="15:40" x14ac:dyDescent="0.25">
      <c r="O52" s="180">
        <f t="shared" si="12"/>
        <v>45523</v>
      </c>
      <c r="P52" s="181">
        <f t="shared" si="1"/>
        <v>2</v>
      </c>
      <c r="Q52" s="26">
        <f t="shared" si="16"/>
        <v>1</v>
      </c>
      <c r="R52" s="26">
        <f t="shared" si="15"/>
        <v>1</v>
      </c>
      <c r="S52" s="26">
        <f t="shared" si="15"/>
        <v>1</v>
      </c>
      <c r="T52" s="26">
        <f t="shared" si="15"/>
        <v>1</v>
      </c>
      <c r="U52" s="26">
        <f t="shared" si="15"/>
        <v>1</v>
      </c>
      <c r="V52" s="180">
        <f t="shared" si="2"/>
        <v>45523</v>
      </c>
      <c r="W52" s="181">
        <f t="shared" si="0"/>
        <v>2</v>
      </c>
      <c r="AD52" s="180">
        <f t="shared" si="13"/>
        <v>45523</v>
      </c>
      <c r="AE52" s="177">
        <f t="shared" si="7"/>
        <v>190</v>
      </c>
      <c r="AF52" s="177">
        <f t="shared" si="8"/>
        <v>190</v>
      </c>
      <c r="AG52" s="177">
        <f t="shared" si="9"/>
        <v>182</v>
      </c>
      <c r="AH52" s="177">
        <f t="shared" si="10"/>
        <v>182</v>
      </c>
      <c r="AI52" s="177">
        <f t="shared" si="11"/>
        <v>182</v>
      </c>
      <c r="AK52" s="125" t="s">
        <v>271</v>
      </c>
      <c r="AL52" s="125" t="s">
        <v>272</v>
      </c>
      <c r="AM52" s="125" t="s">
        <v>273</v>
      </c>
      <c r="AN52" s="125" t="s">
        <v>222</v>
      </c>
    </row>
    <row r="53" spans="15:40" x14ac:dyDescent="0.25">
      <c r="O53" s="180">
        <f t="shared" si="12"/>
        <v>45524</v>
      </c>
      <c r="P53" s="181">
        <f t="shared" si="1"/>
        <v>3</v>
      </c>
      <c r="Q53" s="26">
        <f t="shared" si="16"/>
        <v>1</v>
      </c>
      <c r="R53" s="26">
        <f t="shared" si="15"/>
        <v>1</v>
      </c>
      <c r="S53" s="26">
        <f t="shared" si="15"/>
        <v>1</v>
      </c>
      <c r="T53" s="26">
        <f t="shared" si="15"/>
        <v>1</v>
      </c>
      <c r="U53" s="26">
        <f t="shared" si="15"/>
        <v>1</v>
      </c>
      <c r="V53" s="180">
        <f t="shared" si="2"/>
        <v>45524</v>
      </c>
      <c r="W53" s="181">
        <f t="shared" si="0"/>
        <v>3</v>
      </c>
      <c r="AC53" t="s">
        <v>13</v>
      </c>
      <c r="AD53" s="180">
        <f t="shared" si="13"/>
        <v>45524</v>
      </c>
      <c r="AE53" s="177">
        <f t="shared" si="7"/>
        <v>189</v>
      </c>
      <c r="AF53" s="177">
        <f t="shared" si="8"/>
        <v>189</v>
      </c>
      <c r="AG53" s="177">
        <f t="shared" si="9"/>
        <v>181</v>
      </c>
      <c r="AH53" s="177">
        <f t="shared" si="10"/>
        <v>181</v>
      </c>
      <c r="AI53" s="177">
        <f t="shared" si="11"/>
        <v>181</v>
      </c>
      <c r="AK53" s="125" t="s">
        <v>377</v>
      </c>
      <c r="AL53" s="125" t="s">
        <v>378</v>
      </c>
      <c r="AM53" s="125" t="s">
        <v>378</v>
      </c>
      <c r="AN53" s="125" t="s">
        <v>374</v>
      </c>
    </row>
    <row r="54" spans="15:40" x14ac:dyDescent="0.25">
      <c r="O54" s="180">
        <f t="shared" si="12"/>
        <v>45525</v>
      </c>
      <c r="P54" s="181">
        <f t="shared" si="1"/>
        <v>4</v>
      </c>
      <c r="Q54" s="26">
        <f t="shared" si="16"/>
        <v>1</v>
      </c>
      <c r="R54" s="26">
        <f t="shared" si="15"/>
        <v>1</v>
      </c>
      <c r="S54" s="26">
        <f t="shared" si="15"/>
        <v>1</v>
      </c>
      <c r="T54" s="26">
        <f t="shared" si="15"/>
        <v>1</v>
      </c>
      <c r="U54" s="26">
        <f t="shared" si="15"/>
        <v>1</v>
      </c>
      <c r="V54" s="180">
        <f t="shared" si="2"/>
        <v>45525</v>
      </c>
      <c r="W54" s="181">
        <f t="shared" si="0"/>
        <v>4</v>
      </c>
      <c r="AC54" t="s">
        <v>410</v>
      </c>
      <c r="AD54" s="180">
        <f t="shared" si="13"/>
        <v>45525</v>
      </c>
      <c r="AE54" s="177">
        <f t="shared" si="7"/>
        <v>188</v>
      </c>
      <c r="AF54" s="177">
        <f t="shared" si="8"/>
        <v>188</v>
      </c>
      <c r="AG54" s="177">
        <f t="shared" si="9"/>
        <v>180</v>
      </c>
      <c r="AH54" s="177">
        <f t="shared" si="10"/>
        <v>180</v>
      </c>
      <c r="AI54" s="177">
        <f t="shared" si="11"/>
        <v>180</v>
      </c>
      <c r="AK54" s="125" t="s">
        <v>365</v>
      </c>
      <c r="AL54" s="125" t="s">
        <v>366</v>
      </c>
      <c r="AM54" s="125" t="s">
        <v>367</v>
      </c>
      <c r="AN54" s="125" t="s">
        <v>337</v>
      </c>
    </row>
    <row r="55" spans="15:40" x14ac:dyDescent="0.25">
      <c r="O55" s="180">
        <f t="shared" si="12"/>
        <v>45526</v>
      </c>
      <c r="P55" s="181">
        <f t="shared" si="1"/>
        <v>5</v>
      </c>
      <c r="Q55" s="26">
        <f t="shared" si="16"/>
        <v>1</v>
      </c>
      <c r="R55" s="26">
        <f t="shared" si="15"/>
        <v>1</v>
      </c>
      <c r="S55" s="26">
        <f t="shared" si="15"/>
        <v>1</v>
      </c>
      <c r="T55" s="26">
        <f t="shared" si="15"/>
        <v>1</v>
      </c>
      <c r="U55" s="26">
        <f t="shared" si="15"/>
        <v>1</v>
      </c>
      <c r="V55" s="180">
        <f t="shared" si="2"/>
        <v>45526</v>
      </c>
      <c r="W55" s="181">
        <f t="shared" si="0"/>
        <v>5</v>
      </c>
      <c r="AC55" t="s">
        <v>13</v>
      </c>
      <c r="AD55" s="180">
        <f t="shared" si="13"/>
        <v>45526</v>
      </c>
      <c r="AE55" s="177">
        <f t="shared" si="7"/>
        <v>187</v>
      </c>
      <c r="AF55" s="177">
        <f t="shared" si="8"/>
        <v>187</v>
      </c>
      <c r="AG55" s="177">
        <f t="shared" si="9"/>
        <v>179</v>
      </c>
      <c r="AH55" s="177">
        <f t="shared" si="10"/>
        <v>179</v>
      </c>
      <c r="AI55" s="177">
        <f t="shared" si="11"/>
        <v>179</v>
      </c>
      <c r="AK55" s="125" t="s">
        <v>135</v>
      </c>
      <c r="AL55" s="125" t="s">
        <v>136</v>
      </c>
      <c r="AM55" s="125" t="s">
        <v>136</v>
      </c>
      <c r="AN55" s="125" t="s">
        <v>107</v>
      </c>
    </row>
    <row r="56" spans="15:40" x14ac:dyDescent="0.25">
      <c r="O56" s="180">
        <f t="shared" si="12"/>
        <v>45527</v>
      </c>
      <c r="P56" s="181">
        <f t="shared" si="1"/>
        <v>6</v>
      </c>
      <c r="Q56" s="26">
        <f t="shared" si="16"/>
        <v>1</v>
      </c>
      <c r="R56" s="26">
        <f t="shared" si="15"/>
        <v>1</v>
      </c>
      <c r="S56" s="26">
        <f t="shared" si="15"/>
        <v>1</v>
      </c>
      <c r="T56" s="26">
        <f t="shared" si="15"/>
        <v>1</v>
      </c>
      <c r="U56" s="26">
        <f t="shared" si="15"/>
        <v>1</v>
      </c>
      <c r="V56" s="180">
        <f t="shared" si="2"/>
        <v>45527</v>
      </c>
      <c r="W56" s="181">
        <f t="shared" si="0"/>
        <v>6</v>
      </c>
      <c r="AC56" t="s">
        <v>410</v>
      </c>
      <c r="AD56" s="180">
        <f t="shared" si="13"/>
        <v>45527</v>
      </c>
      <c r="AE56" s="177">
        <f t="shared" si="7"/>
        <v>186</v>
      </c>
      <c r="AF56" s="177">
        <f t="shared" si="8"/>
        <v>186</v>
      </c>
      <c r="AG56" s="177">
        <f t="shared" si="9"/>
        <v>178</v>
      </c>
      <c r="AH56" s="177">
        <f t="shared" si="10"/>
        <v>178</v>
      </c>
      <c r="AI56" s="177">
        <f t="shared" si="11"/>
        <v>178</v>
      </c>
      <c r="AK56" s="125" t="s">
        <v>198</v>
      </c>
      <c r="AL56" s="125" t="s">
        <v>199</v>
      </c>
      <c r="AM56" s="125" t="s">
        <v>200</v>
      </c>
      <c r="AN56" s="125" t="s">
        <v>107</v>
      </c>
    </row>
    <row r="57" spans="15:40" x14ac:dyDescent="0.25">
      <c r="O57" s="180">
        <f t="shared" si="12"/>
        <v>45528</v>
      </c>
      <c r="P57" s="181">
        <f t="shared" si="1"/>
        <v>7</v>
      </c>
      <c r="Q57" s="26" t="str">
        <f t="shared" si="16"/>
        <v/>
      </c>
      <c r="R57" s="26" t="str">
        <f t="shared" si="15"/>
        <v/>
      </c>
      <c r="S57" s="26" t="str">
        <f t="shared" si="15"/>
        <v/>
      </c>
      <c r="T57" s="26" t="str">
        <f t="shared" si="15"/>
        <v/>
      </c>
      <c r="U57" s="26" t="str">
        <f t="shared" si="15"/>
        <v/>
      </c>
      <c r="V57" s="180">
        <f t="shared" si="2"/>
        <v>45528</v>
      </c>
      <c r="W57" s="181">
        <f t="shared" si="0"/>
        <v>7</v>
      </c>
      <c r="AD57" s="180">
        <f t="shared" si="13"/>
        <v>45528</v>
      </c>
      <c r="AE57" s="177">
        <f t="shared" si="7"/>
        <v>186</v>
      </c>
      <c r="AF57" s="177">
        <f t="shared" si="8"/>
        <v>186</v>
      </c>
      <c r="AG57" s="177">
        <f t="shared" si="9"/>
        <v>178</v>
      </c>
      <c r="AH57" s="177">
        <f t="shared" si="10"/>
        <v>178</v>
      </c>
      <c r="AI57" s="177">
        <f t="shared" si="11"/>
        <v>178</v>
      </c>
      <c r="AK57" s="125" t="s">
        <v>177</v>
      </c>
      <c r="AL57" s="125" t="s">
        <v>178</v>
      </c>
      <c r="AM57" s="125" t="s">
        <v>179</v>
      </c>
      <c r="AN57" s="125" t="s">
        <v>107</v>
      </c>
    </row>
    <row r="58" spans="15:40" x14ac:dyDescent="0.25">
      <c r="O58" s="180">
        <f t="shared" si="12"/>
        <v>45529</v>
      </c>
      <c r="P58" s="181">
        <f t="shared" si="1"/>
        <v>1</v>
      </c>
      <c r="Q58" s="26" t="str">
        <f t="shared" si="16"/>
        <v/>
      </c>
      <c r="R58" s="26" t="str">
        <f t="shared" si="15"/>
        <v/>
      </c>
      <c r="S58" s="26" t="str">
        <f t="shared" si="15"/>
        <v/>
      </c>
      <c r="T58" s="26" t="str">
        <f t="shared" si="15"/>
        <v/>
      </c>
      <c r="U58" s="26" t="str">
        <f t="shared" si="15"/>
        <v/>
      </c>
      <c r="V58" s="180">
        <f t="shared" si="2"/>
        <v>45529</v>
      </c>
      <c r="W58" s="181">
        <f t="shared" si="0"/>
        <v>1</v>
      </c>
      <c r="AD58" s="180">
        <f t="shared" si="13"/>
        <v>45529</v>
      </c>
      <c r="AE58" s="177">
        <f t="shared" si="7"/>
        <v>186</v>
      </c>
      <c r="AF58" s="177">
        <f t="shared" si="8"/>
        <v>186</v>
      </c>
      <c r="AG58" s="177">
        <f t="shared" si="9"/>
        <v>178</v>
      </c>
      <c r="AH58" s="177">
        <f t="shared" si="10"/>
        <v>178</v>
      </c>
      <c r="AI58" s="177">
        <f t="shared" si="11"/>
        <v>178</v>
      </c>
      <c r="AK58" s="125" t="s">
        <v>137</v>
      </c>
      <c r="AL58" s="125" t="s">
        <v>138</v>
      </c>
      <c r="AM58" s="125" t="s">
        <v>139</v>
      </c>
      <c r="AN58" s="125" t="s">
        <v>107</v>
      </c>
    </row>
    <row r="59" spans="15:40" x14ac:dyDescent="0.25">
      <c r="O59" s="180">
        <f t="shared" si="12"/>
        <v>45530</v>
      </c>
      <c r="P59" s="181">
        <f t="shared" si="1"/>
        <v>2</v>
      </c>
      <c r="Q59" s="26">
        <f t="shared" si="16"/>
        <v>1</v>
      </c>
      <c r="R59" s="26">
        <f t="shared" si="15"/>
        <v>1</v>
      </c>
      <c r="S59" s="26">
        <f t="shared" si="15"/>
        <v>1</v>
      </c>
      <c r="T59" s="26">
        <f t="shared" si="15"/>
        <v>1</v>
      </c>
      <c r="U59" s="26">
        <f t="shared" si="15"/>
        <v>1</v>
      </c>
      <c r="V59" s="180">
        <f t="shared" si="2"/>
        <v>45530</v>
      </c>
      <c r="W59" s="181">
        <f t="shared" si="0"/>
        <v>2</v>
      </c>
      <c r="AD59" s="180">
        <f t="shared" si="13"/>
        <v>45530</v>
      </c>
      <c r="AE59" s="177">
        <f t="shared" si="7"/>
        <v>185</v>
      </c>
      <c r="AF59" s="177">
        <f t="shared" si="8"/>
        <v>185</v>
      </c>
      <c r="AG59" s="177">
        <f t="shared" si="9"/>
        <v>177</v>
      </c>
      <c r="AH59" s="177">
        <f t="shared" si="10"/>
        <v>177</v>
      </c>
      <c r="AI59" s="177">
        <f t="shared" si="11"/>
        <v>177</v>
      </c>
      <c r="AK59" s="125" t="s">
        <v>391</v>
      </c>
      <c r="AL59" s="125" t="s">
        <v>392</v>
      </c>
      <c r="AM59" s="125" t="s">
        <v>392</v>
      </c>
      <c r="AN59" s="125" t="s">
        <v>393</v>
      </c>
    </row>
    <row r="60" spans="15:40" x14ac:dyDescent="0.25">
      <c r="O60" s="180">
        <f t="shared" si="12"/>
        <v>45531</v>
      </c>
      <c r="P60" s="181">
        <f t="shared" si="1"/>
        <v>3</v>
      </c>
      <c r="Q60" s="26">
        <f t="shared" si="16"/>
        <v>1</v>
      </c>
      <c r="R60" s="26">
        <f t="shared" si="15"/>
        <v>1</v>
      </c>
      <c r="S60" s="26">
        <f t="shared" si="15"/>
        <v>1</v>
      </c>
      <c r="T60" s="26">
        <f t="shared" si="15"/>
        <v>1</v>
      </c>
      <c r="U60" s="26">
        <f t="shared" si="15"/>
        <v>1</v>
      </c>
      <c r="V60" s="180">
        <f t="shared" si="2"/>
        <v>45531</v>
      </c>
      <c r="W60" s="181">
        <f t="shared" si="0"/>
        <v>3</v>
      </c>
      <c r="AC60" t="s">
        <v>13</v>
      </c>
      <c r="AD60" s="180">
        <f t="shared" si="13"/>
        <v>45531</v>
      </c>
      <c r="AE60" s="177">
        <f t="shared" si="7"/>
        <v>184</v>
      </c>
      <c r="AF60" s="177">
        <f t="shared" si="8"/>
        <v>184</v>
      </c>
      <c r="AG60" s="177">
        <f t="shared" si="9"/>
        <v>176</v>
      </c>
      <c r="AH60" s="177">
        <f t="shared" si="10"/>
        <v>176</v>
      </c>
      <c r="AI60" s="177">
        <f t="shared" si="11"/>
        <v>176</v>
      </c>
      <c r="AK60" s="125" t="s">
        <v>394</v>
      </c>
      <c r="AL60" s="125" t="s">
        <v>395</v>
      </c>
      <c r="AM60" s="125" t="s">
        <v>395</v>
      </c>
      <c r="AN60" s="125" t="s">
        <v>393</v>
      </c>
    </row>
    <row r="61" spans="15:40" x14ac:dyDescent="0.25">
      <c r="O61" s="180">
        <f t="shared" si="12"/>
        <v>45532</v>
      </c>
      <c r="P61" s="181">
        <f t="shared" si="1"/>
        <v>4</v>
      </c>
      <c r="Q61" s="26">
        <f t="shared" si="16"/>
        <v>1</v>
      </c>
      <c r="R61" s="26">
        <f t="shared" si="15"/>
        <v>1</v>
      </c>
      <c r="S61" s="26">
        <f t="shared" si="15"/>
        <v>1</v>
      </c>
      <c r="T61" s="26">
        <f t="shared" si="15"/>
        <v>1</v>
      </c>
      <c r="U61" s="26">
        <f t="shared" si="15"/>
        <v>1</v>
      </c>
      <c r="V61" s="180">
        <f t="shared" si="2"/>
        <v>45532</v>
      </c>
      <c r="W61" s="181">
        <f t="shared" si="0"/>
        <v>4</v>
      </c>
      <c r="AC61" t="s">
        <v>410</v>
      </c>
      <c r="AD61" s="180">
        <f t="shared" si="13"/>
        <v>45532</v>
      </c>
      <c r="AE61" s="177">
        <f t="shared" si="7"/>
        <v>183</v>
      </c>
      <c r="AF61" s="177">
        <f t="shared" si="8"/>
        <v>183</v>
      </c>
      <c r="AG61" s="177">
        <f t="shared" si="9"/>
        <v>175</v>
      </c>
      <c r="AH61" s="177">
        <f t="shared" si="10"/>
        <v>175</v>
      </c>
      <c r="AI61" s="177">
        <f t="shared" si="11"/>
        <v>175</v>
      </c>
      <c r="AK61" s="125" t="s">
        <v>334</v>
      </c>
      <c r="AL61" s="125" t="s">
        <v>335</v>
      </c>
      <c r="AM61" s="125" t="s">
        <v>336</v>
      </c>
      <c r="AN61" s="125" t="s">
        <v>337</v>
      </c>
    </row>
    <row r="62" spans="15:40" x14ac:dyDescent="0.25">
      <c r="O62" s="180">
        <f t="shared" si="12"/>
        <v>45533</v>
      </c>
      <c r="P62" s="181">
        <f t="shared" si="1"/>
        <v>5</v>
      </c>
      <c r="Q62" s="26">
        <f t="shared" si="16"/>
        <v>1</v>
      </c>
      <c r="R62" s="26">
        <f t="shared" si="15"/>
        <v>1</v>
      </c>
      <c r="S62" s="26">
        <f t="shared" si="15"/>
        <v>1</v>
      </c>
      <c r="T62" s="26">
        <f t="shared" si="15"/>
        <v>1</v>
      </c>
      <c r="U62" s="26">
        <f t="shared" si="15"/>
        <v>1</v>
      </c>
      <c r="V62" s="180">
        <f t="shared" si="2"/>
        <v>45533</v>
      </c>
      <c r="W62" s="181">
        <f t="shared" si="0"/>
        <v>5</v>
      </c>
      <c r="AC62" t="s">
        <v>13</v>
      </c>
      <c r="AD62" s="180">
        <f t="shared" si="13"/>
        <v>45533</v>
      </c>
      <c r="AE62" s="177">
        <f t="shared" si="7"/>
        <v>182</v>
      </c>
      <c r="AF62" s="177">
        <f t="shared" si="8"/>
        <v>182</v>
      </c>
      <c r="AG62" s="177">
        <f t="shared" si="9"/>
        <v>174</v>
      </c>
      <c r="AH62" s="177">
        <f t="shared" si="10"/>
        <v>174</v>
      </c>
      <c r="AI62" s="177">
        <f t="shared" si="11"/>
        <v>174</v>
      </c>
      <c r="AK62" s="125" t="s">
        <v>162</v>
      </c>
      <c r="AL62" s="125" t="s">
        <v>163</v>
      </c>
      <c r="AM62" s="125" t="s">
        <v>164</v>
      </c>
      <c r="AN62" s="125" t="s">
        <v>107</v>
      </c>
    </row>
    <row r="63" spans="15:40" x14ac:dyDescent="0.25">
      <c r="O63" s="180">
        <f t="shared" si="12"/>
        <v>45534</v>
      </c>
      <c r="P63" s="181">
        <f t="shared" si="1"/>
        <v>6</v>
      </c>
      <c r="Q63" s="26">
        <f t="shared" si="16"/>
        <v>1</v>
      </c>
      <c r="R63" s="26">
        <f t="shared" si="15"/>
        <v>1</v>
      </c>
      <c r="S63" s="26">
        <f t="shared" si="15"/>
        <v>1</v>
      </c>
      <c r="T63" s="26">
        <f t="shared" si="15"/>
        <v>1</v>
      </c>
      <c r="U63" s="26">
        <f t="shared" si="15"/>
        <v>1</v>
      </c>
      <c r="V63" s="180">
        <f t="shared" si="2"/>
        <v>45534</v>
      </c>
      <c r="W63" s="181">
        <f t="shared" si="0"/>
        <v>6</v>
      </c>
      <c r="AC63" t="s">
        <v>410</v>
      </c>
      <c r="AD63" s="180">
        <f t="shared" si="13"/>
        <v>45534</v>
      </c>
      <c r="AE63" s="177">
        <f t="shared" si="7"/>
        <v>181</v>
      </c>
      <c r="AF63" s="177">
        <f t="shared" si="8"/>
        <v>181</v>
      </c>
      <c r="AG63" s="177">
        <f t="shared" si="9"/>
        <v>173</v>
      </c>
      <c r="AH63" s="177">
        <f t="shared" si="10"/>
        <v>173</v>
      </c>
      <c r="AI63" s="177">
        <f t="shared" si="11"/>
        <v>173</v>
      </c>
      <c r="AK63" s="125" t="s">
        <v>268</v>
      </c>
      <c r="AL63" s="125" t="s">
        <v>269</v>
      </c>
      <c r="AM63" s="125" t="s">
        <v>270</v>
      </c>
      <c r="AN63" s="125" t="s">
        <v>222</v>
      </c>
    </row>
    <row r="64" spans="15:40" x14ac:dyDescent="0.25">
      <c r="O64" s="180">
        <f t="shared" si="12"/>
        <v>45535</v>
      </c>
      <c r="P64" s="181">
        <f t="shared" si="1"/>
        <v>7</v>
      </c>
      <c r="Q64" s="26" t="str">
        <f t="shared" si="16"/>
        <v/>
      </c>
      <c r="R64" s="26" t="str">
        <f t="shared" si="15"/>
        <v/>
      </c>
      <c r="S64" s="26" t="str">
        <f t="shared" si="15"/>
        <v/>
      </c>
      <c r="T64" s="26" t="str">
        <f t="shared" si="15"/>
        <v/>
      </c>
      <c r="U64" s="26" t="str">
        <f t="shared" si="15"/>
        <v/>
      </c>
      <c r="V64" s="180">
        <f t="shared" si="2"/>
        <v>45535</v>
      </c>
      <c r="W64" s="181">
        <f t="shared" si="0"/>
        <v>7</v>
      </c>
      <c r="AC64" t="s">
        <v>13</v>
      </c>
      <c r="AD64" s="180">
        <f t="shared" si="13"/>
        <v>45535</v>
      </c>
      <c r="AE64" s="177">
        <f t="shared" si="7"/>
        <v>181</v>
      </c>
      <c r="AF64" s="177">
        <f t="shared" si="8"/>
        <v>181</v>
      </c>
      <c r="AG64" s="177">
        <f t="shared" si="9"/>
        <v>173</v>
      </c>
      <c r="AH64" s="177">
        <f t="shared" si="10"/>
        <v>173</v>
      </c>
      <c r="AI64" s="177">
        <f t="shared" si="11"/>
        <v>173</v>
      </c>
      <c r="AK64" s="125" t="s">
        <v>265</v>
      </c>
      <c r="AL64" s="125" t="s">
        <v>266</v>
      </c>
      <c r="AM64" s="125" t="s">
        <v>267</v>
      </c>
      <c r="AN64" s="125" t="s">
        <v>222</v>
      </c>
    </row>
    <row r="65" spans="15:40" x14ac:dyDescent="0.25">
      <c r="O65" s="180">
        <f t="shared" si="12"/>
        <v>45536</v>
      </c>
      <c r="P65" s="181">
        <f t="shared" si="1"/>
        <v>1</v>
      </c>
      <c r="Q65" s="26" t="str">
        <f t="shared" si="16"/>
        <v/>
      </c>
      <c r="R65" s="26" t="str">
        <f t="shared" si="15"/>
        <v/>
      </c>
      <c r="S65" s="26" t="str">
        <f t="shared" si="15"/>
        <v/>
      </c>
      <c r="T65" s="26" t="str">
        <f t="shared" si="15"/>
        <v/>
      </c>
      <c r="U65" s="26" t="str">
        <f t="shared" si="15"/>
        <v/>
      </c>
      <c r="V65" s="180">
        <f t="shared" si="2"/>
        <v>45536</v>
      </c>
      <c r="W65" s="181">
        <f t="shared" si="0"/>
        <v>1</v>
      </c>
      <c r="AD65" s="180">
        <f t="shared" si="13"/>
        <v>45536</v>
      </c>
      <c r="AE65" s="177">
        <f t="shared" si="7"/>
        <v>181</v>
      </c>
      <c r="AF65" s="177">
        <f t="shared" si="8"/>
        <v>181</v>
      </c>
      <c r="AG65" s="177">
        <f t="shared" si="9"/>
        <v>173</v>
      </c>
      <c r="AH65" s="177">
        <f t="shared" si="10"/>
        <v>173</v>
      </c>
      <c r="AI65" s="177">
        <f t="shared" si="11"/>
        <v>173</v>
      </c>
      <c r="AK65" s="125" t="s">
        <v>453</v>
      </c>
      <c r="AL65" s="125" t="s">
        <v>454</v>
      </c>
      <c r="AM65" s="125" t="s">
        <v>455</v>
      </c>
      <c r="AN65" s="125" t="s">
        <v>222</v>
      </c>
    </row>
    <row r="66" spans="15:40" x14ac:dyDescent="0.25">
      <c r="O66" s="180">
        <f t="shared" si="12"/>
        <v>45537</v>
      </c>
      <c r="P66" s="181">
        <f t="shared" si="1"/>
        <v>2</v>
      </c>
      <c r="Q66" s="26" t="s">
        <v>83</v>
      </c>
      <c r="R66" s="26" t="s">
        <v>83</v>
      </c>
      <c r="S66" s="26" t="s">
        <v>83</v>
      </c>
      <c r="T66" s="26" t="s">
        <v>83</v>
      </c>
      <c r="U66" s="26" t="s">
        <v>83</v>
      </c>
      <c r="V66" s="180">
        <f t="shared" si="2"/>
        <v>45537</v>
      </c>
      <c r="W66" s="181">
        <f t="shared" si="0"/>
        <v>2</v>
      </c>
      <c r="AD66" s="180">
        <f t="shared" si="13"/>
        <v>45537</v>
      </c>
      <c r="AE66" s="177">
        <f t="shared" si="7"/>
        <v>181</v>
      </c>
      <c r="AF66" s="177">
        <f t="shared" si="8"/>
        <v>181</v>
      </c>
      <c r="AG66" s="177">
        <f t="shared" si="9"/>
        <v>173</v>
      </c>
      <c r="AH66" s="177">
        <f t="shared" si="10"/>
        <v>173</v>
      </c>
      <c r="AI66" s="177">
        <f t="shared" si="11"/>
        <v>173</v>
      </c>
      <c r="AK66" s="125" t="s">
        <v>403</v>
      </c>
      <c r="AL66" s="125" t="s">
        <v>404</v>
      </c>
      <c r="AM66" s="125" t="s">
        <v>405</v>
      </c>
      <c r="AN66" s="125" t="s">
        <v>386</v>
      </c>
    </row>
    <row r="67" spans="15:40" x14ac:dyDescent="0.25">
      <c r="O67" s="180">
        <f t="shared" si="12"/>
        <v>45538</v>
      </c>
      <c r="P67" s="181">
        <f t="shared" si="1"/>
        <v>3</v>
      </c>
      <c r="Q67" s="26">
        <f t="shared" si="16"/>
        <v>1</v>
      </c>
      <c r="R67" s="26">
        <f t="shared" si="15"/>
        <v>1</v>
      </c>
      <c r="S67" s="26">
        <f t="shared" si="15"/>
        <v>1</v>
      </c>
      <c r="T67" s="26">
        <f t="shared" si="15"/>
        <v>1</v>
      </c>
      <c r="U67" s="26">
        <f t="shared" si="15"/>
        <v>1</v>
      </c>
      <c r="V67" s="180">
        <f t="shared" si="2"/>
        <v>45538</v>
      </c>
      <c r="W67" s="181">
        <f t="shared" ref="W67:W130" si="17">WEEKDAY(V67)</f>
        <v>3</v>
      </c>
      <c r="AC67" t="s">
        <v>410</v>
      </c>
      <c r="AD67" s="180">
        <f t="shared" si="13"/>
        <v>45538</v>
      </c>
      <c r="AE67" s="177">
        <f t="shared" si="7"/>
        <v>180</v>
      </c>
      <c r="AF67" s="177">
        <f t="shared" si="8"/>
        <v>180</v>
      </c>
      <c r="AG67" s="177">
        <f t="shared" si="9"/>
        <v>172</v>
      </c>
      <c r="AH67" s="177">
        <f t="shared" si="10"/>
        <v>172</v>
      </c>
      <c r="AI67" s="177">
        <f t="shared" si="11"/>
        <v>172</v>
      </c>
      <c r="AK67" s="125" t="s">
        <v>430</v>
      </c>
      <c r="AL67" s="125" t="s">
        <v>439</v>
      </c>
      <c r="AM67" s="125" t="s">
        <v>440</v>
      </c>
      <c r="AN67" s="125" t="s">
        <v>337</v>
      </c>
    </row>
    <row r="68" spans="15:40" x14ac:dyDescent="0.25">
      <c r="O68" s="180">
        <f t="shared" si="12"/>
        <v>45539</v>
      </c>
      <c r="P68" s="181">
        <f t="shared" ref="P68:P131" si="18">WEEKDAY(O68)</f>
        <v>4</v>
      </c>
      <c r="Q68" s="26">
        <f t="shared" si="16"/>
        <v>1</v>
      </c>
      <c r="R68" s="26">
        <f t="shared" si="15"/>
        <v>1</v>
      </c>
      <c r="S68" s="26">
        <f t="shared" si="15"/>
        <v>1</v>
      </c>
      <c r="T68" s="26">
        <f t="shared" si="15"/>
        <v>1</v>
      </c>
      <c r="U68" s="26">
        <f t="shared" si="15"/>
        <v>1</v>
      </c>
      <c r="V68" s="180">
        <f t="shared" ref="V68:V131" si="19">V67+1</f>
        <v>45539</v>
      </c>
      <c r="W68" s="181">
        <f t="shared" si="17"/>
        <v>4</v>
      </c>
      <c r="AC68" t="s">
        <v>13</v>
      </c>
      <c r="AD68" s="180">
        <f t="shared" si="13"/>
        <v>45539</v>
      </c>
      <c r="AE68" s="177">
        <f t="shared" si="7"/>
        <v>179</v>
      </c>
      <c r="AF68" s="177">
        <f t="shared" si="8"/>
        <v>179</v>
      </c>
      <c r="AG68" s="177">
        <f t="shared" si="9"/>
        <v>171</v>
      </c>
      <c r="AH68" s="177">
        <f t="shared" si="10"/>
        <v>171</v>
      </c>
      <c r="AI68" s="177">
        <f t="shared" si="11"/>
        <v>171</v>
      </c>
      <c r="AK68" s="125" t="s">
        <v>431</v>
      </c>
      <c r="AL68" s="125" t="s">
        <v>438</v>
      </c>
      <c r="AM68" s="125" t="s">
        <v>438</v>
      </c>
      <c r="AN68" s="125" t="s">
        <v>374</v>
      </c>
    </row>
    <row r="69" spans="15:40" x14ac:dyDescent="0.25">
      <c r="O69" s="180">
        <f t="shared" si="12"/>
        <v>45540</v>
      </c>
      <c r="P69" s="181">
        <f t="shared" si="18"/>
        <v>5</v>
      </c>
      <c r="Q69" s="26">
        <f t="shared" si="16"/>
        <v>1</v>
      </c>
      <c r="R69" s="26">
        <f t="shared" si="16"/>
        <v>1</v>
      </c>
      <c r="S69" s="26">
        <f t="shared" si="16"/>
        <v>1</v>
      </c>
      <c r="T69" s="26">
        <f t="shared" si="16"/>
        <v>1</v>
      </c>
      <c r="U69" s="26">
        <f t="shared" si="16"/>
        <v>1</v>
      </c>
      <c r="V69" s="180">
        <f t="shared" si="19"/>
        <v>45540</v>
      </c>
      <c r="W69" s="181">
        <f t="shared" si="17"/>
        <v>5</v>
      </c>
      <c r="AC69" t="s">
        <v>410</v>
      </c>
      <c r="AD69" s="180">
        <f t="shared" si="13"/>
        <v>45540</v>
      </c>
      <c r="AE69" s="177">
        <f t="shared" ref="AE69:AE132" si="20">AE68-(IF(Q69=1,1,0))</f>
        <v>178</v>
      </c>
      <c r="AF69" s="177">
        <f t="shared" ref="AF69:AF132" si="21">AF68-(IF(R69=1,1,0))</f>
        <v>178</v>
      </c>
      <c r="AG69" s="177">
        <f t="shared" ref="AG69:AG132" si="22">AG68-(IF(S69=1,1,0))</f>
        <v>170</v>
      </c>
      <c r="AH69" s="177">
        <f t="shared" ref="AH69:AH132" si="23">AH68-(IF(T69=1,1,0))</f>
        <v>170</v>
      </c>
      <c r="AI69" s="177">
        <f t="shared" ref="AI69:AI132" si="24">AI68-(IF(U69=1,1,0))</f>
        <v>170</v>
      </c>
      <c r="AK69" s="187" t="s">
        <v>171</v>
      </c>
      <c r="AL69" s="125" t="s">
        <v>450</v>
      </c>
      <c r="AM69" s="125" t="s">
        <v>451</v>
      </c>
      <c r="AN69" s="125" t="s">
        <v>107</v>
      </c>
    </row>
    <row r="70" spans="15:40" x14ac:dyDescent="0.25">
      <c r="O70" s="180">
        <f t="shared" ref="O70:O133" si="25">O69+1</f>
        <v>45541</v>
      </c>
      <c r="P70" s="181">
        <f t="shared" si="18"/>
        <v>6</v>
      </c>
      <c r="Q70" s="26">
        <f t="shared" si="16"/>
        <v>1</v>
      </c>
      <c r="R70" s="26">
        <f t="shared" si="15"/>
        <v>1</v>
      </c>
      <c r="S70" s="26">
        <f t="shared" si="15"/>
        <v>1</v>
      </c>
      <c r="T70" s="26">
        <f t="shared" si="15"/>
        <v>1</v>
      </c>
      <c r="U70" s="26">
        <f t="shared" si="15"/>
        <v>1</v>
      </c>
      <c r="V70" s="180">
        <f t="shared" si="19"/>
        <v>45541</v>
      </c>
      <c r="W70" s="181">
        <f t="shared" si="17"/>
        <v>6</v>
      </c>
      <c r="AC70" t="s">
        <v>13</v>
      </c>
      <c r="AD70" s="180">
        <f t="shared" ref="AD70:AD133" si="26">AD69+1</f>
        <v>45541</v>
      </c>
      <c r="AE70" s="177">
        <f t="shared" si="20"/>
        <v>177</v>
      </c>
      <c r="AF70" s="177">
        <f t="shared" si="21"/>
        <v>177</v>
      </c>
      <c r="AG70" s="177">
        <f t="shared" si="22"/>
        <v>169</v>
      </c>
      <c r="AH70" s="177">
        <f t="shared" si="23"/>
        <v>169</v>
      </c>
      <c r="AI70" s="177">
        <f t="shared" si="24"/>
        <v>169</v>
      </c>
      <c r="AK70" s="125" t="s">
        <v>277</v>
      </c>
      <c r="AL70" s="125" t="s">
        <v>278</v>
      </c>
      <c r="AM70" s="125" t="s">
        <v>279</v>
      </c>
      <c r="AN70" s="125" t="s">
        <v>222</v>
      </c>
    </row>
    <row r="71" spans="15:40" x14ac:dyDescent="0.25">
      <c r="O71" s="180">
        <f t="shared" si="25"/>
        <v>45542</v>
      </c>
      <c r="P71" s="181">
        <f t="shared" si="18"/>
        <v>7</v>
      </c>
      <c r="Q71" s="26" t="str">
        <f t="shared" si="16"/>
        <v/>
      </c>
      <c r="R71" s="26" t="str">
        <f t="shared" si="15"/>
        <v/>
      </c>
      <c r="S71" s="26" t="str">
        <f t="shared" si="15"/>
        <v/>
      </c>
      <c r="T71" s="26" t="str">
        <f t="shared" si="15"/>
        <v/>
      </c>
      <c r="U71" s="26" t="str">
        <f t="shared" si="15"/>
        <v/>
      </c>
      <c r="V71" s="180">
        <f t="shared" si="19"/>
        <v>45542</v>
      </c>
      <c r="W71" s="181">
        <f t="shared" si="17"/>
        <v>7</v>
      </c>
      <c r="AD71" s="180">
        <f t="shared" si="26"/>
        <v>45542</v>
      </c>
      <c r="AE71" s="177">
        <f t="shared" si="20"/>
        <v>177</v>
      </c>
      <c r="AF71" s="177">
        <f t="shared" si="21"/>
        <v>177</v>
      </c>
      <c r="AG71" s="177">
        <f t="shared" si="22"/>
        <v>169</v>
      </c>
      <c r="AH71" s="177">
        <f t="shared" si="23"/>
        <v>169</v>
      </c>
      <c r="AI71" s="177">
        <f t="shared" si="24"/>
        <v>169</v>
      </c>
      <c r="AK71" s="125" t="s">
        <v>238</v>
      </c>
      <c r="AL71" s="125" t="s">
        <v>239</v>
      </c>
      <c r="AM71" s="125" t="s">
        <v>240</v>
      </c>
      <c r="AN71" s="125" t="s">
        <v>222</v>
      </c>
    </row>
    <row r="72" spans="15:40" x14ac:dyDescent="0.25">
      <c r="O72" s="180">
        <f t="shared" si="25"/>
        <v>45543</v>
      </c>
      <c r="P72" s="181">
        <f t="shared" si="18"/>
        <v>1</v>
      </c>
      <c r="Q72" s="26" t="str">
        <f t="shared" si="16"/>
        <v/>
      </c>
      <c r="R72" s="26" t="str">
        <f t="shared" si="15"/>
        <v/>
      </c>
      <c r="S72" s="26" t="str">
        <f t="shared" si="15"/>
        <v/>
      </c>
      <c r="T72" s="26" t="str">
        <f t="shared" si="15"/>
        <v/>
      </c>
      <c r="U72" s="26" t="str">
        <f t="shared" si="15"/>
        <v/>
      </c>
      <c r="V72" s="180">
        <f t="shared" si="19"/>
        <v>45543</v>
      </c>
      <c r="W72" s="181">
        <f t="shared" si="17"/>
        <v>1</v>
      </c>
      <c r="AD72" s="180">
        <f t="shared" si="26"/>
        <v>45543</v>
      </c>
      <c r="AE72" s="177">
        <f t="shared" si="20"/>
        <v>177</v>
      </c>
      <c r="AF72" s="177">
        <f t="shared" si="21"/>
        <v>177</v>
      </c>
      <c r="AG72" s="177">
        <f t="shared" si="22"/>
        <v>169</v>
      </c>
      <c r="AH72" s="177">
        <f t="shared" si="23"/>
        <v>169</v>
      </c>
      <c r="AI72" s="177">
        <f t="shared" si="24"/>
        <v>169</v>
      </c>
      <c r="AK72" s="125" t="s">
        <v>286</v>
      </c>
      <c r="AL72" s="125" t="s">
        <v>287</v>
      </c>
      <c r="AM72" s="125" t="s">
        <v>288</v>
      </c>
      <c r="AN72" s="125" t="s">
        <v>222</v>
      </c>
    </row>
    <row r="73" spans="15:40" x14ac:dyDescent="0.25">
      <c r="O73" s="180">
        <f t="shared" si="25"/>
        <v>45544</v>
      </c>
      <c r="P73" s="181">
        <f t="shared" si="18"/>
        <v>2</v>
      </c>
      <c r="Q73" s="26">
        <f t="shared" si="16"/>
        <v>1</v>
      </c>
      <c r="R73" s="26">
        <f t="shared" si="15"/>
        <v>1</v>
      </c>
      <c r="S73" s="26">
        <f t="shared" si="15"/>
        <v>1</v>
      </c>
      <c r="T73" s="26">
        <f t="shared" si="15"/>
        <v>1</v>
      </c>
      <c r="U73" s="26">
        <f t="shared" si="15"/>
        <v>1</v>
      </c>
      <c r="V73" s="180">
        <f t="shared" si="19"/>
        <v>45544</v>
      </c>
      <c r="W73" s="181">
        <f t="shared" si="17"/>
        <v>2</v>
      </c>
      <c r="AC73" t="s">
        <v>410</v>
      </c>
      <c r="AD73" s="180">
        <f t="shared" si="26"/>
        <v>45544</v>
      </c>
      <c r="AE73" s="177">
        <f t="shared" si="20"/>
        <v>176</v>
      </c>
      <c r="AF73" s="177">
        <f t="shared" si="21"/>
        <v>176</v>
      </c>
      <c r="AG73" s="177">
        <f t="shared" si="22"/>
        <v>168</v>
      </c>
      <c r="AH73" s="177">
        <f t="shared" si="23"/>
        <v>168</v>
      </c>
      <c r="AI73" s="177">
        <f t="shared" si="24"/>
        <v>168</v>
      </c>
      <c r="AK73" s="125" t="s">
        <v>368</v>
      </c>
      <c r="AL73" s="125" t="s">
        <v>369</v>
      </c>
      <c r="AM73" s="125" t="s">
        <v>370</v>
      </c>
      <c r="AN73" s="125" t="s">
        <v>337</v>
      </c>
    </row>
    <row r="74" spans="15:40" x14ac:dyDescent="0.25">
      <c r="O74" s="180">
        <f t="shared" si="25"/>
        <v>45545</v>
      </c>
      <c r="P74" s="181">
        <f t="shared" si="18"/>
        <v>3</v>
      </c>
      <c r="Q74" s="26">
        <f t="shared" si="16"/>
        <v>1</v>
      </c>
      <c r="R74" s="26">
        <f t="shared" si="15"/>
        <v>1</v>
      </c>
      <c r="S74" s="26">
        <f t="shared" si="15"/>
        <v>1</v>
      </c>
      <c r="T74" s="26">
        <f t="shared" si="15"/>
        <v>1</v>
      </c>
      <c r="U74" s="26">
        <f t="shared" si="15"/>
        <v>1</v>
      </c>
      <c r="V74" s="180">
        <f t="shared" si="19"/>
        <v>45545</v>
      </c>
      <c r="W74" s="181">
        <f t="shared" si="17"/>
        <v>3</v>
      </c>
      <c r="AC74" t="s">
        <v>13</v>
      </c>
      <c r="AD74" s="180">
        <f t="shared" si="26"/>
        <v>45545</v>
      </c>
      <c r="AE74" s="177">
        <f t="shared" si="20"/>
        <v>175</v>
      </c>
      <c r="AF74" s="177">
        <f t="shared" si="21"/>
        <v>175</v>
      </c>
      <c r="AG74" s="177">
        <f t="shared" si="22"/>
        <v>167</v>
      </c>
      <c r="AH74" s="177">
        <f t="shared" si="23"/>
        <v>167</v>
      </c>
      <c r="AI74" s="177">
        <f t="shared" si="24"/>
        <v>167</v>
      </c>
      <c r="AK74" s="125" t="s">
        <v>256</v>
      </c>
      <c r="AL74" s="125" t="s">
        <v>257</v>
      </c>
      <c r="AM74" s="125" t="s">
        <v>258</v>
      </c>
      <c r="AN74" s="125" t="s">
        <v>222</v>
      </c>
    </row>
    <row r="75" spans="15:40" x14ac:dyDescent="0.25">
      <c r="O75" s="180">
        <f t="shared" si="25"/>
        <v>45546</v>
      </c>
      <c r="P75" s="181">
        <f t="shared" si="18"/>
        <v>4</v>
      </c>
      <c r="Q75" s="26">
        <f t="shared" si="16"/>
        <v>1</v>
      </c>
      <c r="R75" s="26">
        <f t="shared" si="15"/>
        <v>1</v>
      </c>
      <c r="S75" s="26">
        <f t="shared" si="15"/>
        <v>1</v>
      </c>
      <c r="T75" s="26">
        <f t="shared" si="15"/>
        <v>1</v>
      </c>
      <c r="U75" s="26">
        <f t="shared" si="15"/>
        <v>1</v>
      </c>
      <c r="V75" s="180">
        <f t="shared" si="19"/>
        <v>45546</v>
      </c>
      <c r="W75" s="181">
        <f t="shared" si="17"/>
        <v>4</v>
      </c>
      <c r="AC75" t="s">
        <v>410</v>
      </c>
      <c r="AD75" s="180">
        <f t="shared" si="26"/>
        <v>45546</v>
      </c>
      <c r="AE75" s="177">
        <f t="shared" si="20"/>
        <v>174</v>
      </c>
      <c r="AF75" s="177">
        <f t="shared" si="21"/>
        <v>174</v>
      </c>
      <c r="AG75" s="177">
        <f t="shared" si="22"/>
        <v>166</v>
      </c>
      <c r="AH75" s="177">
        <f t="shared" si="23"/>
        <v>166</v>
      </c>
      <c r="AI75" s="177">
        <f t="shared" si="24"/>
        <v>166</v>
      </c>
      <c r="AK75" s="125" t="s">
        <v>381</v>
      </c>
      <c r="AL75" s="125" t="s">
        <v>382</v>
      </c>
      <c r="AM75" s="125" t="s">
        <v>383</v>
      </c>
      <c r="AN75" s="125" t="s">
        <v>374</v>
      </c>
    </row>
    <row r="76" spans="15:40" x14ac:dyDescent="0.25">
      <c r="O76" s="180">
        <f t="shared" si="25"/>
        <v>45547</v>
      </c>
      <c r="P76" s="181">
        <f t="shared" si="18"/>
        <v>5</v>
      </c>
      <c r="Q76" s="26">
        <f t="shared" si="16"/>
        <v>1</v>
      </c>
      <c r="R76" s="26">
        <f t="shared" si="15"/>
        <v>1</v>
      </c>
      <c r="S76" s="26">
        <f t="shared" si="15"/>
        <v>1</v>
      </c>
      <c r="T76" s="26">
        <f t="shared" si="15"/>
        <v>1</v>
      </c>
      <c r="U76" s="26">
        <f t="shared" si="15"/>
        <v>1</v>
      </c>
      <c r="V76" s="180">
        <f t="shared" si="19"/>
        <v>45547</v>
      </c>
      <c r="W76" s="181">
        <f t="shared" si="17"/>
        <v>5</v>
      </c>
      <c r="AC76" t="s">
        <v>13</v>
      </c>
      <c r="AD76" s="180">
        <f t="shared" si="26"/>
        <v>45547</v>
      </c>
      <c r="AE76" s="177">
        <f t="shared" si="20"/>
        <v>173</v>
      </c>
      <c r="AF76" s="177">
        <f t="shared" si="21"/>
        <v>173</v>
      </c>
      <c r="AG76" s="177">
        <f t="shared" si="22"/>
        <v>165</v>
      </c>
      <c r="AH76" s="177">
        <f t="shared" si="23"/>
        <v>165</v>
      </c>
      <c r="AI76" s="177">
        <f t="shared" si="24"/>
        <v>165</v>
      </c>
      <c r="AK76" s="125" t="s">
        <v>283</v>
      </c>
      <c r="AL76" s="125" t="s">
        <v>284</v>
      </c>
      <c r="AM76" s="125" t="s">
        <v>285</v>
      </c>
      <c r="AN76" s="125" t="s">
        <v>222</v>
      </c>
    </row>
    <row r="77" spans="15:40" x14ac:dyDescent="0.25">
      <c r="O77" s="180">
        <f t="shared" si="25"/>
        <v>45548</v>
      </c>
      <c r="P77" s="181">
        <f t="shared" si="18"/>
        <v>6</v>
      </c>
      <c r="Q77" s="26">
        <f t="shared" si="16"/>
        <v>1</v>
      </c>
      <c r="R77" s="26">
        <f t="shared" si="15"/>
        <v>1</v>
      </c>
      <c r="S77" s="26">
        <f t="shared" si="15"/>
        <v>1</v>
      </c>
      <c r="T77" s="26">
        <f t="shared" si="15"/>
        <v>1</v>
      </c>
      <c r="U77" s="26">
        <f t="shared" si="15"/>
        <v>1</v>
      </c>
      <c r="V77" s="180">
        <f t="shared" si="19"/>
        <v>45548</v>
      </c>
      <c r="W77" s="181">
        <f t="shared" si="17"/>
        <v>6</v>
      </c>
      <c r="AC77" t="s">
        <v>410</v>
      </c>
      <c r="AD77" s="180">
        <f t="shared" si="26"/>
        <v>45548</v>
      </c>
      <c r="AE77" s="177">
        <f t="shared" si="20"/>
        <v>172</v>
      </c>
      <c r="AF77" s="177">
        <f t="shared" si="21"/>
        <v>172</v>
      </c>
      <c r="AG77" s="177">
        <f t="shared" si="22"/>
        <v>164</v>
      </c>
      <c r="AH77" s="177">
        <f t="shared" si="23"/>
        <v>164</v>
      </c>
      <c r="AI77" s="177">
        <f t="shared" si="24"/>
        <v>164</v>
      </c>
      <c r="AK77" s="125" t="s">
        <v>186</v>
      </c>
      <c r="AL77" s="125" t="s">
        <v>187</v>
      </c>
      <c r="AM77" s="125" t="s">
        <v>188</v>
      </c>
      <c r="AN77" s="125" t="s">
        <v>107</v>
      </c>
    </row>
    <row r="78" spans="15:40" x14ac:dyDescent="0.25">
      <c r="O78" s="180">
        <f t="shared" si="25"/>
        <v>45549</v>
      </c>
      <c r="P78" s="181">
        <f t="shared" si="18"/>
        <v>7</v>
      </c>
      <c r="Q78" s="26" t="str">
        <f t="shared" si="16"/>
        <v/>
      </c>
      <c r="R78" s="26" t="str">
        <f t="shared" si="15"/>
        <v/>
      </c>
      <c r="S78" s="26" t="str">
        <f t="shared" si="15"/>
        <v/>
      </c>
      <c r="T78" s="26" t="str">
        <f t="shared" si="15"/>
        <v/>
      </c>
      <c r="U78" s="26" t="str">
        <f t="shared" si="15"/>
        <v/>
      </c>
      <c r="V78" s="180">
        <f t="shared" si="19"/>
        <v>45549</v>
      </c>
      <c r="W78" s="181">
        <f t="shared" si="17"/>
        <v>7</v>
      </c>
      <c r="AD78" s="180">
        <f t="shared" si="26"/>
        <v>45549</v>
      </c>
      <c r="AE78" s="177">
        <f t="shared" si="20"/>
        <v>172</v>
      </c>
      <c r="AF78" s="177">
        <f t="shared" si="21"/>
        <v>172</v>
      </c>
      <c r="AG78" s="177">
        <f t="shared" si="22"/>
        <v>164</v>
      </c>
      <c r="AH78" s="177">
        <f t="shared" si="23"/>
        <v>164</v>
      </c>
      <c r="AI78" s="177">
        <f t="shared" si="24"/>
        <v>164</v>
      </c>
      <c r="AK78" s="125" t="s">
        <v>180</v>
      </c>
      <c r="AL78" s="125" t="s">
        <v>181</v>
      </c>
      <c r="AM78" s="125" t="s">
        <v>182</v>
      </c>
      <c r="AN78" s="125" t="s">
        <v>107</v>
      </c>
    </row>
    <row r="79" spans="15:40" x14ac:dyDescent="0.25">
      <c r="O79" s="180">
        <f t="shared" si="25"/>
        <v>45550</v>
      </c>
      <c r="P79" s="181">
        <f t="shared" si="18"/>
        <v>1</v>
      </c>
      <c r="Q79" s="26" t="str">
        <f t="shared" si="16"/>
        <v/>
      </c>
      <c r="R79" s="26" t="str">
        <f t="shared" si="15"/>
        <v/>
      </c>
      <c r="S79" s="26" t="str">
        <f t="shared" si="15"/>
        <v/>
      </c>
      <c r="T79" s="26" t="str">
        <f t="shared" si="15"/>
        <v/>
      </c>
      <c r="U79" s="26" t="str">
        <f t="shared" si="15"/>
        <v/>
      </c>
      <c r="V79" s="180">
        <f t="shared" si="19"/>
        <v>45550</v>
      </c>
      <c r="W79" s="181">
        <f t="shared" si="17"/>
        <v>1</v>
      </c>
      <c r="AD79" s="180">
        <f t="shared" si="26"/>
        <v>45550</v>
      </c>
      <c r="AE79" s="177">
        <f t="shared" si="20"/>
        <v>172</v>
      </c>
      <c r="AF79" s="177">
        <f t="shared" si="21"/>
        <v>172</v>
      </c>
      <c r="AG79" s="177">
        <f t="shared" si="22"/>
        <v>164</v>
      </c>
      <c r="AH79" s="177">
        <f t="shared" si="23"/>
        <v>164</v>
      </c>
      <c r="AI79" s="177">
        <f t="shared" si="24"/>
        <v>164</v>
      </c>
      <c r="AK79" s="125" t="s">
        <v>452</v>
      </c>
      <c r="AL79" s="125" t="s">
        <v>445</v>
      </c>
      <c r="AM79" s="125" t="s">
        <v>446</v>
      </c>
      <c r="AN79" s="125" t="s">
        <v>222</v>
      </c>
    </row>
    <row r="80" spans="15:40" x14ac:dyDescent="0.25">
      <c r="O80" s="180">
        <f t="shared" si="25"/>
        <v>45551</v>
      </c>
      <c r="P80" s="181">
        <f t="shared" si="18"/>
        <v>2</v>
      </c>
      <c r="Q80" s="26">
        <f t="shared" si="16"/>
        <v>1</v>
      </c>
      <c r="R80" s="26">
        <f t="shared" si="15"/>
        <v>1</v>
      </c>
      <c r="S80" s="26">
        <f t="shared" si="15"/>
        <v>1</v>
      </c>
      <c r="T80" s="26">
        <f t="shared" si="15"/>
        <v>1</v>
      </c>
      <c r="U80" s="26">
        <f t="shared" si="15"/>
        <v>1</v>
      </c>
      <c r="V80" s="180">
        <f t="shared" si="19"/>
        <v>45551</v>
      </c>
      <c r="W80" s="181">
        <f t="shared" si="17"/>
        <v>2</v>
      </c>
      <c r="AC80" t="s">
        <v>13</v>
      </c>
      <c r="AD80" s="180">
        <f t="shared" si="26"/>
        <v>45551</v>
      </c>
      <c r="AE80" s="177">
        <f t="shared" si="20"/>
        <v>171</v>
      </c>
      <c r="AF80" s="177">
        <f t="shared" si="21"/>
        <v>171</v>
      </c>
      <c r="AG80" s="177">
        <f t="shared" si="22"/>
        <v>163</v>
      </c>
      <c r="AH80" s="177">
        <f t="shared" si="23"/>
        <v>163</v>
      </c>
      <c r="AI80" s="177">
        <f t="shared" si="24"/>
        <v>163</v>
      </c>
      <c r="AK80" s="125" t="s">
        <v>226</v>
      </c>
      <c r="AL80" s="125" t="s">
        <v>227</v>
      </c>
      <c r="AM80" s="125" t="s">
        <v>228</v>
      </c>
      <c r="AN80" s="125" t="s">
        <v>222</v>
      </c>
    </row>
    <row r="81" spans="15:40" x14ac:dyDescent="0.25">
      <c r="O81" s="180">
        <f t="shared" si="25"/>
        <v>45552</v>
      </c>
      <c r="P81" s="181">
        <f t="shared" si="18"/>
        <v>3</v>
      </c>
      <c r="Q81" s="26">
        <f t="shared" si="16"/>
        <v>1</v>
      </c>
      <c r="R81" s="26">
        <f t="shared" si="15"/>
        <v>1</v>
      </c>
      <c r="S81" s="26">
        <f t="shared" si="15"/>
        <v>1</v>
      </c>
      <c r="T81" s="26">
        <f t="shared" si="15"/>
        <v>1</v>
      </c>
      <c r="U81" s="26">
        <f t="shared" si="15"/>
        <v>1</v>
      </c>
      <c r="V81" s="180">
        <f t="shared" si="19"/>
        <v>45552</v>
      </c>
      <c r="W81" s="181">
        <f t="shared" si="17"/>
        <v>3</v>
      </c>
      <c r="AC81" t="s">
        <v>410</v>
      </c>
      <c r="AD81" s="180">
        <f t="shared" si="26"/>
        <v>45552</v>
      </c>
      <c r="AE81" s="177">
        <f t="shared" si="20"/>
        <v>170</v>
      </c>
      <c r="AF81" s="177">
        <f t="shared" si="21"/>
        <v>170</v>
      </c>
      <c r="AG81" s="177">
        <f t="shared" si="22"/>
        <v>162</v>
      </c>
      <c r="AH81" s="177">
        <f t="shared" si="23"/>
        <v>162</v>
      </c>
      <c r="AI81" s="177">
        <f t="shared" si="24"/>
        <v>162</v>
      </c>
      <c r="AK81" s="125" t="s">
        <v>289</v>
      </c>
      <c r="AL81" s="125" t="s">
        <v>290</v>
      </c>
      <c r="AM81" s="125" t="s">
        <v>291</v>
      </c>
      <c r="AN81" s="125" t="s">
        <v>222</v>
      </c>
    </row>
    <row r="82" spans="15:40" x14ac:dyDescent="0.25">
      <c r="O82" s="180">
        <f t="shared" si="25"/>
        <v>45553</v>
      </c>
      <c r="P82" s="181">
        <f t="shared" si="18"/>
        <v>4</v>
      </c>
      <c r="Q82" s="26">
        <f t="shared" si="16"/>
        <v>1</v>
      </c>
      <c r="R82" s="26">
        <f t="shared" si="15"/>
        <v>1</v>
      </c>
      <c r="S82" s="26">
        <f t="shared" si="15"/>
        <v>1</v>
      </c>
      <c r="T82" s="26">
        <f t="shared" si="15"/>
        <v>1</v>
      </c>
      <c r="U82" s="26">
        <f t="shared" si="15"/>
        <v>1</v>
      </c>
      <c r="V82" s="180">
        <f t="shared" si="19"/>
        <v>45553</v>
      </c>
      <c r="W82" s="181">
        <f t="shared" si="17"/>
        <v>4</v>
      </c>
      <c r="AC82" t="s">
        <v>13</v>
      </c>
      <c r="AD82" s="180">
        <f t="shared" si="26"/>
        <v>45553</v>
      </c>
      <c r="AE82" s="177">
        <f t="shared" si="20"/>
        <v>169</v>
      </c>
      <c r="AF82" s="177">
        <f t="shared" si="21"/>
        <v>169</v>
      </c>
      <c r="AG82" s="177">
        <f t="shared" si="22"/>
        <v>161</v>
      </c>
      <c r="AH82" s="177">
        <f t="shared" si="23"/>
        <v>161</v>
      </c>
      <c r="AI82" s="177">
        <f t="shared" si="24"/>
        <v>161</v>
      </c>
      <c r="AK82" s="125" t="s">
        <v>338</v>
      </c>
      <c r="AL82" s="125" t="s">
        <v>339</v>
      </c>
      <c r="AM82" s="125" t="s">
        <v>340</v>
      </c>
      <c r="AN82" s="125" t="s">
        <v>337</v>
      </c>
    </row>
    <row r="83" spans="15:40" x14ac:dyDescent="0.25">
      <c r="O83" s="180">
        <f t="shared" si="25"/>
        <v>45554</v>
      </c>
      <c r="P83" s="181">
        <f t="shared" si="18"/>
        <v>5</v>
      </c>
      <c r="Q83" s="26">
        <f t="shared" si="16"/>
        <v>1</v>
      </c>
      <c r="R83" s="26">
        <f t="shared" si="15"/>
        <v>1</v>
      </c>
      <c r="S83" s="26">
        <f t="shared" si="15"/>
        <v>1</v>
      </c>
      <c r="T83" s="26">
        <f t="shared" si="15"/>
        <v>1</v>
      </c>
      <c r="U83" s="26">
        <f t="shared" si="15"/>
        <v>1</v>
      </c>
      <c r="V83" s="180">
        <f t="shared" si="19"/>
        <v>45554</v>
      </c>
      <c r="W83" s="181">
        <f t="shared" si="17"/>
        <v>5</v>
      </c>
      <c r="AC83" t="s">
        <v>410</v>
      </c>
      <c r="AD83" s="180">
        <f t="shared" si="26"/>
        <v>45554</v>
      </c>
      <c r="AE83" s="177">
        <f t="shared" si="20"/>
        <v>168</v>
      </c>
      <c r="AF83" s="177">
        <f t="shared" si="21"/>
        <v>168</v>
      </c>
      <c r="AG83" s="177">
        <f t="shared" si="22"/>
        <v>160</v>
      </c>
      <c r="AH83" s="177">
        <f t="shared" si="23"/>
        <v>160</v>
      </c>
      <c r="AI83" s="177">
        <f t="shared" si="24"/>
        <v>160</v>
      </c>
      <c r="AK83" s="125" t="s">
        <v>209</v>
      </c>
      <c r="AL83" s="125" t="s">
        <v>210</v>
      </c>
      <c r="AM83" s="125" t="s">
        <v>210</v>
      </c>
      <c r="AN83" s="125" t="s">
        <v>107</v>
      </c>
    </row>
    <row r="84" spans="15:40" x14ac:dyDescent="0.25">
      <c r="O84" s="180">
        <f t="shared" si="25"/>
        <v>45555</v>
      </c>
      <c r="P84" s="181">
        <f t="shared" si="18"/>
        <v>6</v>
      </c>
      <c r="Q84" s="26">
        <f t="shared" si="16"/>
        <v>1</v>
      </c>
      <c r="R84" s="26">
        <f t="shared" si="15"/>
        <v>1</v>
      </c>
      <c r="S84" s="26">
        <f t="shared" si="15"/>
        <v>1</v>
      </c>
      <c r="T84" s="26">
        <f t="shared" si="15"/>
        <v>1</v>
      </c>
      <c r="U84" s="26">
        <f t="shared" si="15"/>
        <v>1</v>
      </c>
      <c r="V84" s="180">
        <f t="shared" si="19"/>
        <v>45555</v>
      </c>
      <c r="W84" s="181">
        <f t="shared" si="17"/>
        <v>6</v>
      </c>
      <c r="AC84" t="s">
        <v>13</v>
      </c>
      <c r="AD84" s="180">
        <f t="shared" si="26"/>
        <v>45555</v>
      </c>
      <c r="AE84" s="177">
        <f t="shared" si="20"/>
        <v>167</v>
      </c>
      <c r="AF84" s="177">
        <f t="shared" si="21"/>
        <v>167</v>
      </c>
      <c r="AG84" s="177">
        <f t="shared" si="22"/>
        <v>159</v>
      </c>
      <c r="AH84" s="177">
        <f t="shared" si="23"/>
        <v>159</v>
      </c>
      <c r="AI84" s="177">
        <f t="shared" si="24"/>
        <v>159</v>
      </c>
      <c r="AK84" s="125" t="s">
        <v>157</v>
      </c>
      <c r="AL84" s="125" t="s">
        <v>158</v>
      </c>
      <c r="AM84" s="125" t="s">
        <v>159</v>
      </c>
      <c r="AN84" s="125" t="s">
        <v>107</v>
      </c>
    </row>
    <row r="85" spans="15:40" x14ac:dyDescent="0.25">
      <c r="O85" s="180">
        <f t="shared" si="25"/>
        <v>45556</v>
      </c>
      <c r="P85" s="181">
        <f t="shared" si="18"/>
        <v>7</v>
      </c>
      <c r="Q85" s="26" t="str">
        <f t="shared" si="16"/>
        <v/>
      </c>
      <c r="R85" s="26" t="str">
        <f t="shared" si="15"/>
        <v/>
      </c>
      <c r="S85" s="26" t="str">
        <f t="shared" si="15"/>
        <v/>
      </c>
      <c r="T85" s="26" t="str">
        <f t="shared" si="15"/>
        <v/>
      </c>
      <c r="U85" s="26" t="str">
        <f t="shared" si="15"/>
        <v/>
      </c>
      <c r="V85" s="180">
        <f t="shared" si="19"/>
        <v>45556</v>
      </c>
      <c r="W85" s="181">
        <f t="shared" si="17"/>
        <v>7</v>
      </c>
      <c r="AD85" s="180">
        <f t="shared" si="26"/>
        <v>45556</v>
      </c>
      <c r="AE85" s="177">
        <f t="shared" si="20"/>
        <v>167</v>
      </c>
      <c r="AF85" s="177">
        <f t="shared" si="21"/>
        <v>167</v>
      </c>
      <c r="AG85" s="177">
        <f t="shared" si="22"/>
        <v>159</v>
      </c>
      <c r="AH85" s="177">
        <f t="shared" si="23"/>
        <v>159</v>
      </c>
      <c r="AI85" s="177">
        <f t="shared" si="24"/>
        <v>159</v>
      </c>
      <c r="AK85" s="125" t="s">
        <v>396</v>
      </c>
      <c r="AL85" s="125" t="s">
        <v>397</v>
      </c>
      <c r="AM85" s="125" t="s">
        <v>398</v>
      </c>
      <c r="AN85" s="125" t="s">
        <v>386</v>
      </c>
    </row>
    <row r="86" spans="15:40" x14ac:dyDescent="0.25">
      <c r="O86" s="180">
        <f t="shared" si="25"/>
        <v>45557</v>
      </c>
      <c r="P86" s="181">
        <f t="shared" si="18"/>
        <v>1</v>
      </c>
      <c r="Q86" s="26" t="str">
        <f t="shared" si="16"/>
        <v/>
      </c>
      <c r="R86" s="26" t="str">
        <f t="shared" si="15"/>
        <v/>
      </c>
      <c r="S86" s="26" t="str">
        <f t="shared" si="15"/>
        <v/>
      </c>
      <c r="T86" s="26" t="str">
        <f t="shared" si="15"/>
        <v/>
      </c>
      <c r="U86" s="26" t="str">
        <f t="shared" si="15"/>
        <v/>
      </c>
      <c r="V86" s="180">
        <f t="shared" si="19"/>
        <v>45557</v>
      </c>
      <c r="W86" s="181">
        <f t="shared" si="17"/>
        <v>1</v>
      </c>
      <c r="AD86" s="180">
        <f t="shared" si="26"/>
        <v>45557</v>
      </c>
      <c r="AE86" s="177">
        <f t="shared" si="20"/>
        <v>167</v>
      </c>
      <c r="AF86" s="177">
        <f t="shared" si="21"/>
        <v>167</v>
      </c>
      <c r="AG86" s="177">
        <f t="shared" si="22"/>
        <v>159</v>
      </c>
      <c r="AH86" s="177">
        <f t="shared" si="23"/>
        <v>159</v>
      </c>
      <c r="AI86" s="177">
        <f t="shared" si="24"/>
        <v>159</v>
      </c>
      <c r="AK86" s="125" t="s">
        <v>207</v>
      </c>
      <c r="AL86" s="125" t="s">
        <v>208</v>
      </c>
      <c r="AM86" s="125" t="s">
        <v>208</v>
      </c>
      <c r="AN86" s="125" t="s">
        <v>107</v>
      </c>
    </row>
    <row r="87" spans="15:40" x14ac:dyDescent="0.25">
      <c r="O87" s="180">
        <f t="shared" si="25"/>
        <v>45558</v>
      </c>
      <c r="P87" s="181">
        <f t="shared" si="18"/>
        <v>2</v>
      </c>
      <c r="Q87" s="26">
        <f t="shared" si="16"/>
        <v>1</v>
      </c>
      <c r="R87" s="26">
        <f t="shared" si="15"/>
        <v>1</v>
      </c>
      <c r="S87" s="26">
        <f t="shared" si="15"/>
        <v>1</v>
      </c>
      <c r="T87" s="26">
        <f t="shared" si="15"/>
        <v>1</v>
      </c>
      <c r="U87" s="26">
        <f t="shared" si="15"/>
        <v>1</v>
      </c>
      <c r="V87" s="180">
        <f t="shared" si="19"/>
        <v>45558</v>
      </c>
      <c r="W87" s="181">
        <f t="shared" si="17"/>
        <v>2</v>
      </c>
      <c r="AC87" t="s">
        <v>410</v>
      </c>
      <c r="AD87" s="180">
        <f t="shared" si="26"/>
        <v>45558</v>
      </c>
      <c r="AE87" s="177">
        <f t="shared" si="20"/>
        <v>166</v>
      </c>
      <c r="AF87" s="177">
        <f t="shared" si="21"/>
        <v>166</v>
      </c>
      <c r="AG87" s="177">
        <f t="shared" si="22"/>
        <v>158</v>
      </c>
      <c r="AH87" s="177">
        <f t="shared" si="23"/>
        <v>158</v>
      </c>
      <c r="AI87" s="177">
        <f t="shared" si="24"/>
        <v>158</v>
      </c>
      <c r="AK87" s="125" t="s">
        <v>244</v>
      </c>
      <c r="AL87" s="125" t="s">
        <v>245</v>
      </c>
      <c r="AM87" s="125" t="s">
        <v>246</v>
      </c>
      <c r="AN87" s="125" t="s">
        <v>222</v>
      </c>
    </row>
    <row r="88" spans="15:40" x14ac:dyDescent="0.25">
      <c r="O88" s="180">
        <f t="shared" si="25"/>
        <v>45559</v>
      </c>
      <c r="P88" s="181">
        <f t="shared" si="18"/>
        <v>3</v>
      </c>
      <c r="Q88" s="26">
        <f t="shared" si="16"/>
        <v>1</v>
      </c>
      <c r="R88" s="26">
        <f t="shared" si="15"/>
        <v>1</v>
      </c>
      <c r="S88" s="26">
        <f t="shared" si="15"/>
        <v>1</v>
      </c>
      <c r="T88" s="26">
        <f t="shared" si="15"/>
        <v>1</v>
      </c>
      <c r="U88" s="26">
        <f t="shared" si="15"/>
        <v>1</v>
      </c>
      <c r="V88" s="180">
        <f t="shared" si="19"/>
        <v>45559</v>
      </c>
      <c r="W88" s="181">
        <f t="shared" si="17"/>
        <v>3</v>
      </c>
      <c r="AC88" t="s">
        <v>13</v>
      </c>
      <c r="AD88" s="180">
        <f t="shared" si="26"/>
        <v>45559</v>
      </c>
      <c r="AE88" s="177">
        <f t="shared" si="20"/>
        <v>165</v>
      </c>
      <c r="AF88" s="177">
        <f t="shared" si="21"/>
        <v>165</v>
      </c>
      <c r="AG88" s="177">
        <f t="shared" si="22"/>
        <v>157</v>
      </c>
      <c r="AH88" s="177">
        <f t="shared" si="23"/>
        <v>157</v>
      </c>
      <c r="AI88" s="177">
        <f t="shared" si="24"/>
        <v>157</v>
      </c>
      <c r="AK88" s="125" t="s">
        <v>401</v>
      </c>
      <c r="AL88" s="125" t="s">
        <v>402</v>
      </c>
      <c r="AM88" s="125" t="s">
        <v>402</v>
      </c>
      <c r="AN88" s="125" t="s">
        <v>386</v>
      </c>
    </row>
    <row r="89" spans="15:40" x14ac:dyDescent="0.25">
      <c r="O89" s="180">
        <f t="shared" si="25"/>
        <v>45560</v>
      </c>
      <c r="P89" s="181">
        <f t="shared" si="18"/>
        <v>4</v>
      </c>
      <c r="Q89" s="26">
        <f t="shared" si="16"/>
        <v>1</v>
      </c>
      <c r="R89" s="26">
        <f t="shared" si="15"/>
        <v>1</v>
      </c>
      <c r="S89" s="26">
        <f t="shared" si="15"/>
        <v>1</v>
      </c>
      <c r="T89" s="26">
        <f t="shared" si="15"/>
        <v>1</v>
      </c>
      <c r="U89" s="26">
        <f t="shared" si="15"/>
        <v>1</v>
      </c>
      <c r="V89" s="180">
        <f>V88+1</f>
        <v>45560</v>
      </c>
      <c r="W89" s="181">
        <f t="shared" si="17"/>
        <v>4</v>
      </c>
      <c r="AA89" t="s">
        <v>12</v>
      </c>
      <c r="AC89" t="s">
        <v>410</v>
      </c>
      <c r="AD89" s="180">
        <f t="shared" si="26"/>
        <v>45560</v>
      </c>
      <c r="AE89" s="177">
        <f t="shared" si="20"/>
        <v>164</v>
      </c>
      <c r="AF89" s="177">
        <f t="shared" si="21"/>
        <v>164</v>
      </c>
      <c r="AG89" s="177">
        <f t="shared" si="22"/>
        <v>156</v>
      </c>
      <c r="AH89" s="177">
        <f t="shared" si="23"/>
        <v>156</v>
      </c>
      <c r="AI89" s="177">
        <f t="shared" si="24"/>
        <v>156</v>
      </c>
      <c r="AK89" s="125" t="s">
        <v>295</v>
      </c>
      <c r="AL89" s="125" t="s">
        <v>296</v>
      </c>
      <c r="AM89" s="125" t="s">
        <v>297</v>
      </c>
      <c r="AN89" s="125" t="s">
        <v>222</v>
      </c>
    </row>
    <row r="90" spans="15:40" x14ac:dyDescent="0.25">
      <c r="O90" s="180">
        <f t="shared" si="25"/>
        <v>45561</v>
      </c>
      <c r="P90" s="181">
        <f t="shared" si="18"/>
        <v>5</v>
      </c>
      <c r="Q90" s="26">
        <f t="shared" si="16"/>
        <v>1</v>
      </c>
      <c r="R90" s="26">
        <f t="shared" si="15"/>
        <v>1</v>
      </c>
      <c r="S90" s="26">
        <f t="shared" si="15"/>
        <v>1</v>
      </c>
      <c r="T90" s="26">
        <f t="shared" si="15"/>
        <v>1</v>
      </c>
      <c r="U90" s="26">
        <f t="shared" si="15"/>
        <v>1</v>
      </c>
      <c r="V90" s="180">
        <f t="shared" si="19"/>
        <v>45561</v>
      </c>
      <c r="W90" s="181">
        <f t="shared" si="17"/>
        <v>5</v>
      </c>
      <c r="AA90" t="s">
        <v>12</v>
      </c>
      <c r="AC90" t="s">
        <v>13</v>
      </c>
      <c r="AD90" s="180">
        <f t="shared" si="26"/>
        <v>45561</v>
      </c>
      <c r="AE90" s="177">
        <f t="shared" si="20"/>
        <v>163</v>
      </c>
      <c r="AF90" s="177">
        <f t="shared" si="21"/>
        <v>163</v>
      </c>
      <c r="AG90" s="177">
        <f t="shared" si="22"/>
        <v>155</v>
      </c>
      <c r="AH90" s="177">
        <f t="shared" si="23"/>
        <v>155</v>
      </c>
      <c r="AI90" s="177">
        <f t="shared" si="24"/>
        <v>155</v>
      </c>
      <c r="AK90" s="125" t="s">
        <v>292</v>
      </c>
      <c r="AL90" s="125" t="s">
        <v>293</v>
      </c>
      <c r="AM90" s="125" t="s">
        <v>294</v>
      </c>
      <c r="AN90" s="125" t="s">
        <v>222</v>
      </c>
    </row>
    <row r="91" spans="15:40" x14ac:dyDescent="0.25">
      <c r="O91" s="180">
        <f t="shared" si="25"/>
        <v>45562</v>
      </c>
      <c r="P91" s="181">
        <f t="shared" si="18"/>
        <v>6</v>
      </c>
      <c r="Q91" s="26">
        <f t="shared" si="16"/>
        <v>1</v>
      </c>
      <c r="R91" s="26">
        <f t="shared" si="16"/>
        <v>1</v>
      </c>
      <c r="S91" s="26">
        <f t="shared" si="16"/>
        <v>1</v>
      </c>
      <c r="T91" s="26">
        <f t="shared" si="16"/>
        <v>1</v>
      </c>
      <c r="U91" s="26">
        <f t="shared" si="16"/>
        <v>1</v>
      </c>
      <c r="V91" s="180">
        <f t="shared" si="19"/>
        <v>45562</v>
      </c>
      <c r="W91" s="181">
        <f t="shared" si="17"/>
        <v>6</v>
      </c>
      <c r="X91" t="s">
        <v>474</v>
      </c>
      <c r="Y91" t="s">
        <v>474</v>
      </c>
      <c r="AA91" t="s">
        <v>474</v>
      </c>
      <c r="AD91" s="180">
        <f t="shared" si="26"/>
        <v>45562</v>
      </c>
      <c r="AE91" s="177">
        <f t="shared" si="20"/>
        <v>162</v>
      </c>
      <c r="AF91" s="177">
        <f t="shared" si="21"/>
        <v>162</v>
      </c>
      <c r="AG91" s="177">
        <f t="shared" si="22"/>
        <v>154</v>
      </c>
      <c r="AH91" s="177">
        <f t="shared" si="23"/>
        <v>154</v>
      </c>
      <c r="AI91" s="177">
        <f t="shared" si="24"/>
        <v>154</v>
      </c>
      <c r="AK91" s="125" t="s">
        <v>379</v>
      </c>
      <c r="AL91" s="125" t="s">
        <v>380</v>
      </c>
      <c r="AM91" s="125" t="s">
        <v>380</v>
      </c>
      <c r="AN91" s="125" t="s">
        <v>374</v>
      </c>
    </row>
    <row r="92" spans="15:40" x14ac:dyDescent="0.25">
      <c r="O92" s="180">
        <f t="shared" si="25"/>
        <v>45563</v>
      </c>
      <c r="P92" s="181">
        <f t="shared" si="18"/>
        <v>7</v>
      </c>
      <c r="Q92" s="26" t="str">
        <f t="shared" si="16"/>
        <v/>
      </c>
      <c r="R92" s="26" t="str">
        <f t="shared" si="16"/>
        <v/>
      </c>
      <c r="S92" s="26" t="str">
        <f t="shared" si="16"/>
        <v/>
      </c>
      <c r="T92" s="26" t="str">
        <f t="shared" si="16"/>
        <v/>
      </c>
      <c r="U92" s="26" t="str">
        <f t="shared" si="16"/>
        <v/>
      </c>
      <c r="V92" s="180">
        <f t="shared" si="19"/>
        <v>45563</v>
      </c>
      <c r="W92" s="181">
        <f t="shared" si="17"/>
        <v>7</v>
      </c>
      <c r="AD92" s="180">
        <f t="shared" si="26"/>
        <v>45563</v>
      </c>
      <c r="AE92" s="177">
        <f t="shared" si="20"/>
        <v>162</v>
      </c>
      <c r="AF92" s="177">
        <f t="shared" si="21"/>
        <v>162</v>
      </c>
      <c r="AG92" s="177">
        <f t="shared" si="22"/>
        <v>154</v>
      </c>
      <c r="AH92" s="177">
        <f t="shared" si="23"/>
        <v>154</v>
      </c>
      <c r="AI92" s="177">
        <f t="shared" si="24"/>
        <v>154</v>
      </c>
      <c r="AK92" s="125" t="s">
        <v>429</v>
      </c>
      <c r="AL92" s="125" t="s">
        <v>436</v>
      </c>
      <c r="AM92" s="125" t="s">
        <v>437</v>
      </c>
      <c r="AN92" s="125" t="s">
        <v>222</v>
      </c>
    </row>
    <row r="93" spans="15:40" x14ac:dyDescent="0.25">
      <c r="O93" s="180">
        <f t="shared" si="25"/>
        <v>45564</v>
      </c>
      <c r="P93" s="181">
        <f t="shared" si="18"/>
        <v>1</v>
      </c>
      <c r="Q93" s="26" t="str">
        <f t="shared" si="16"/>
        <v/>
      </c>
      <c r="R93" s="26" t="str">
        <f t="shared" si="16"/>
        <v/>
      </c>
      <c r="S93" s="26" t="str">
        <f t="shared" si="16"/>
        <v/>
      </c>
      <c r="T93" s="26" t="str">
        <f t="shared" si="16"/>
        <v/>
      </c>
      <c r="U93" s="26" t="str">
        <f t="shared" si="16"/>
        <v/>
      </c>
      <c r="V93" s="180">
        <f t="shared" si="19"/>
        <v>45564</v>
      </c>
      <c r="W93" s="181">
        <f t="shared" si="17"/>
        <v>1</v>
      </c>
      <c r="AD93" s="180">
        <f t="shared" si="26"/>
        <v>45564</v>
      </c>
      <c r="AE93" s="177">
        <f t="shared" si="20"/>
        <v>162</v>
      </c>
      <c r="AF93" s="177">
        <f t="shared" si="21"/>
        <v>162</v>
      </c>
      <c r="AG93" s="177">
        <f t="shared" si="22"/>
        <v>154</v>
      </c>
      <c r="AH93" s="177">
        <f t="shared" si="23"/>
        <v>154</v>
      </c>
      <c r="AI93" s="177">
        <f t="shared" si="24"/>
        <v>154</v>
      </c>
      <c r="AK93" s="125" t="s">
        <v>298</v>
      </c>
      <c r="AL93" s="125" t="s">
        <v>299</v>
      </c>
      <c r="AM93" s="125" t="s">
        <v>300</v>
      </c>
      <c r="AN93" s="125" t="s">
        <v>222</v>
      </c>
    </row>
    <row r="94" spans="15:40" x14ac:dyDescent="0.25">
      <c r="O94" s="180">
        <f t="shared" si="25"/>
        <v>45565</v>
      </c>
      <c r="P94" s="181">
        <f t="shared" si="18"/>
        <v>2</v>
      </c>
      <c r="Q94" s="26">
        <f t="shared" si="16"/>
        <v>1</v>
      </c>
      <c r="R94" s="26">
        <f t="shared" si="16"/>
        <v>1</v>
      </c>
      <c r="S94" s="26">
        <f t="shared" si="16"/>
        <v>1</v>
      </c>
      <c r="T94" s="26">
        <f t="shared" si="16"/>
        <v>1</v>
      </c>
      <c r="U94" s="26">
        <f t="shared" si="16"/>
        <v>1</v>
      </c>
      <c r="V94" s="180">
        <f t="shared" si="19"/>
        <v>45565</v>
      </c>
      <c r="W94" s="181">
        <f t="shared" si="17"/>
        <v>2</v>
      </c>
      <c r="AC94" t="s">
        <v>410</v>
      </c>
      <c r="AD94" s="180">
        <f t="shared" si="26"/>
        <v>45565</v>
      </c>
      <c r="AE94" s="177">
        <f t="shared" si="20"/>
        <v>161</v>
      </c>
      <c r="AF94" s="177">
        <f t="shared" si="21"/>
        <v>161</v>
      </c>
      <c r="AG94" s="177">
        <f t="shared" si="22"/>
        <v>153</v>
      </c>
      <c r="AH94" s="177">
        <f t="shared" si="23"/>
        <v>153</v>
      </c>
      <c r="AI94" s="177">
        <f t="shared" si="24"/>
        <v>153</v>
      </c>
      <c r="AK94" s="125" t="s">
        <v>310</v>
      </c>
      <c r="AL94" s="125" t="s">
        <v>311</v>
      </c>
      <c r="AM94" s="125" t="s">
        <v>312</v>
      </c>
      <c r="AN94" s="125" t="s">
        <v>222</v>
      </c>
    </row>
    <row r="95" spans="15:40" x14ac:dyDescent="0.25">
      <c r="O95" s="180">
        <f t="shared" si="25"/>
        <v>45566</v>
      </c>
      <c r="P95" s="181">
        <f t="shared" si="18"/>
        <v>3</v>
      </c>
      <c r="Q95" s="26">
        <f t="shared" si="16"/>
        <v>1</v>
      </c>
      <c r="R95" s="26">
        <f t="shared" si="16"/>
        <v>1</v>
      </c>
      <c r="S95" s="26">
        <f t="shared" si="16"/>
        <v>1</v>
      </c>
      <c r="T95" s="26">
        <f t="shared" si="16"/>
        <v>1</v>
      </c>
      <c r="U95" s="26">
        <f t="shared" si="16"/>
        <v>1</v>
      </c>
      <c r="V95" s="180">
        <f t="shared" si="19"/>
        <v>45566</v>
      </c>
      <c r="W95" s="181">
        <f t="shared" si="17"/>
        <v>3</v>
      </c>
      <c r="AC95" t="s">
        <v>13</v>
      </c>
      <c r="AD95" s="180">
        <f t="shared" si="26"/>
        <v>45566</v>
      </c>
      <c r="AE95" s="177">
        <f t="shared" si="20"/>
        <v>160</v>
      </c>
      <c r="AF95" s="177">
        <f t="shared" si="21"/>
        <v>160</v>
      </c>
      <c r="AG95" s="177">
        <f t="shared" si="22"/>
        <v>152</v>
      </c>
      <c r="AH95" s="177">
        <f t="shared" si="23"/>
        <v>152</v>
      </c>
      <c r="AI95" s="177">
        <f t="shared" si="24"/>
        <v>152</v>
      </c>
      <c r="AK95" s="125" t="s">
        <v>232</v>
      </c>
      <c r="AL95" s="125" t="s">
        <v>233</v>
      </c>
      <c r="AM95" s="125" t="s">
        <v>234</v>
      </c>
      <c r="AN95" s="125" t="s">
        <v>222</v>
      </c>
    </row>
    <row r="96" spans="15:40" x14ac:dyDescent="0.25">
      <c r="O96" s="180">
        <f t="shared" si="25"/>
        <v>45567</v>
      </c>
      <c r="P96" s="181">
        <f t="shared" si="18"/>
        <v>4</v>
      </c>
      <c r="Q96" s="26">
        <f t="shared" si="16"/>
        <v>1</v>
      </c>
      <c r="R96" s="26">
        <f t="shared" si="16"/>
        <v>1</v>
      </c>
      <c r="S96" s="26">
        <f t="shared" si="16"/>
        <v>1</v>
      </c>
      <c r="T96" s="26">
        <f t="shared" si="16"/>
        <v>1</v>
      </c>
      <c r="U96" s="26">
        <f t="shared" si="16"/>
        <v>1</v>
      </c>
      <c r="V96" s="180">
        <f t="shared" si="19"/>
        <v>45567</v>
      </c>
      <c r="W96" s="181">
        <f t="shared" si="17"/>
        <v>4</v>
      </c>
      <c r="Z96" t="s">
        <v>12</v>
      </c>
      <c r="AC96" t="s">
        <v>410</v>
      </c>
      <c r="AD96" s="180">
        <f t="shared" si="26"/>
        <v>45567</v>
      </c>
      <c r="AE96" s="177">
        <f t="shared" si="20"/>
        <v>159</v>
      </c>
      <c r="AF96" s="177">
        <f t="shared" si="21"/>
        <v>159</v>
      </c>
      <c r="AG96" s="177">
        <f t="shared" si="22"/>
        <v>151</v>
      </c>
      <c r="AH96" s="177">
        <f t="shared" si="23"/>
        <v>151</v>
      </c>
      <c r="AI96" s="177">
        <f t="shared" si="24"/>
        <v>151</v>
      </c>
      <c r="AK96" s="125" t="s">
        <v>301</v>
      </c>
      <c r="AL96" s="125" t="s">
        <v>302</v>
      </c>
      <c r="AM96" s="125" t="s">
        <v>303</v>
      </c>
      <c r="AN96" s="125" t="s">
        <v>222</v>
      </c>
    </row>
    <row r="97" spans="15:40" x14ac:dyDescent="0.25">
      <c r="O97" s="180">
        <f t="shared" si="25"/>
        <v>45568</v>
      </c>
      <c r="P97" s="181">
        <f t="shared" si="18"/>
        <v>5</v>
      </c>
      <c r="Q97" s="26">
        <f t="shared" si="16"/>
        <v>1</v>
      </c>
      <c r="R97" s="26">
        <f t="shared" si="16"/>
        <v>1</v>
      </c>
      <c r="S97" s="26">
        <f t="shared" si="16"/>
        <v>1</v>
      </c>
      <c r="T97" s="26">
        <f t="shared" si="16"/>
        <v>1</v>
      </c>
      <c r="U97" s="26">
        <f t="shared" si="16"/>
        <v>1</v>
      </c>
      <c r="V97" s="180">
        <f t="shared" si="19"/>
        <v>45568</v>
      </c>
      <c r="W97" s="181">
        <f t="shared" si="17"/>
        <v>5</v>
      </c>
      <c r="Z97" t="s">
        <v>12</v>
      </c>
      <c r="AC97" t="s">
        <v>13</v>
      </c>
      <c r="AD97" s="180">
        <f t="shared" si="26"/>
        <v>45568</v>
      </c>
      <c r="AE97" s="177">
        <f t="shared" si="20"/>
        <v>158</v>
      </c>
      <c r="AF97" s="177">
        <f t="shared" si="21"/>
        <v>158</v>
      </c>
      <c r="AG97" s="177">
        <f t="shared" si="22"/>
        <v>150</v>
      </c>
      <c r="AH97" s="177">
        <f t="shared" si="23"/>
        <v>150</v>
      </c>
      <c r="AI97" s="177">
        <f t="shared" si="24"/>
        <v>150</v>
      </c>
      <c r="AK97" s="125" t="s">
        <v>353</v>
      </c>
      <c r="AL97" s="125" t="s">
        <v>354</v>
      </c>
      <c r="AM97" s="125" t="s">
        <v>355</v>
      </c>
      <c r="AN97" s="125" t="s">
        <v>337</v>
      </c>
    </row>
    <row r="98" spans="15:40" x14ac:dyDescent="0.25">
      <c r="O98" s="180">
        <f t="shared" si="25"/>
        <v>45569</v>
      </c>
      <c r="P98" s="181">
        <f t="shared" si="18"/>
        <v>6</v>
      </c>
      <c r="Q98" s="26">
        <f t="shared" si="16"/>
        <v>1</v>
      </c>
      <c r="R98" s="26">
        <f t="shared" si="16"/>
        <v>1</v>
      </c>
      <c r="S98" s="26">
        <f t="shared" si="16"/>
        <v>1</v>
      </c>
      <c r="T98" s="26">
        <f t="shared" si="16"/>
        <v>1</v>
      </c>
      <c r="U98" s="26">
        <f t="shared" si="16"/>
        <v>1</v>
      </c>
      <c r="V98" s="180">
        <f t="shared" si="19"/>
        <v>45569</v>
      </c>
      <c r="W98" s="181">
        <f t="shared" si="17"/>
        <v>6</v>
      </c>
      <c r="X98" t="s">
        <v>474</v>
      </c>
      <c r="Z98" t="s">
        <v>474</v>
      </c>
      <c r="AC98" t="s">
        <v>410</v>
      </c>
      <c r="AD98" s="180">
        <f t="shared" si="26"/>
        <v>45569</v>
      </c>
      <c r="AE98" s="177">
        <f t="shared" si="20"/>
        <v>157</v>
      </c>
      <c r="AF98" s="177">
        <f t="shared" si="21"/>
        <v>157</v>
      </c>
      <c r="AG98" s="177">
        <f t="shared" si="22"/>
        <v>149</v>
      </c>
      <c r="AH98" s="177">
        <f t="shared" si="23"/>
        <v>149</v>
      </c>
      <c r="AI98" s="177">
        <f t="shared" si="24"/>
        <v>149</v>
      </c>
      <c r="AK98" s="125" t="s">
        <v>341</v>
      </c>
      <c r="AL98" s="125" t="s">
        <v>342</v>
      </c>
      <c r="AM98" s="125" t="s">
        <v>343</v>
      </c>
      <c r="AN98" s="125" t="s">
        <v>337</v>
      </c>
    </row>
    <row r="99" spans="15:40" x14ac:dyDescent="0.25">
      <c r="O99" s="180">
        <f t="shared" si="25"/>
        <v>45570</v>
      </c>
      <c r="P99" s="181">
        <f t="shared" si="18"/>
        <v>7</v>
      </c>
      <c r="Q99" s="26" t="str">
        <f t="shared" si="16"/>
        <v/>
      </c>
      <c r="R99" s="26" t="str">
        <f t="shared" si="16"/>
        <v/>
      </c>
      <c r="S99" s="26" t="str">
        <f t="shared" si="16"/>
        <v/>
      </c>
      <c r="T99" s="26" t="str">
        <f t="shared" si="16"/>
        <v/>
      </c>
      <c r="U99" s="26" t="str">
        <f t="shared" si="16"/>
        <v/>
      </c>
      <c r="V99" s="180">
        <f t="shared" si="19"/>
        <v>45570</v>
      </c>
      <c r="W99" s="181">
        <f t="shared" si="17"/>
        <v>7</v>
      </c>
      <c r="AD99" s="180">
        <f t="shared" si="26"/>
        <v>45570</v>
      </c>
      <c r="AE99" s="177">
        <f t="shared" si="20"/>
        <v>157</v>
      </c>
      <c r="AF99" s="177">
        <f t="shared" si="21"/>
        <v>157</v>
      </c>
      <c r="AG99" s="177">
        <f t="shared" si="22"/>
        <v>149</v>
      </c>
      <c r="AH99" s="177">
        <f t="shared" si="23"/>
        <v>149</v>
      </c>
      <c r="AI99" s="177">
        <f t="shared" si="24"/>
        <v>149</v>
      </c>
      <c r="AK99" s="125" t="s">
        <v>406</v>
      </c>
      <c r="AL99" s="125" t="s">
        <v>407</v>
      </c>
      <c r="AM99" s="125" t="s">
        <v>408</v>
      </c>
      <c r="AN99" s="125" t="s">
        <v>387</v>
      </c>
    </row>
    <row r="100" spans="15:40" x14ac:dyDescent="0.25">
      <c r="O100" s="180">
        <f t="shared" si="25"/>
        <v>45571</v>
      </c>
      <c r="P100" s="181">
        <f t="shared" si="18"/>
        <v>1</v>
      </c>
      <c r="Q100" s="26" t="str">
        <f t="shared" ref="Q100:T159" si="27">IF(OR($P100=2,$P100=3,$P100=4,$P100=5,$P100=6),1,"")</f>
        <v/>
      </c>
      <c r="R100" s="26" t="str">
        <f t="shared" si="27"/>
        <v/>
      </c>
      <c r="S100" s="26" t="str">
        <f t="shared" si="27"/>
        <v/>
      </c>
      <c r="T100" s="26" t="str">
        <f t="shared" si="27"/>
        <v/>
      </c>
      <c r="U100" s="26" t="str">
        <f t="shared" ref="U100:U158" si="28">IF(OR($P100=2,$P100=3,$P100=4,$P100=5,$P100=6),1,"")</f>
        <v/>
      </c>
      <c r="V100" s="180">
        <f t="shared" si="19"/>
        <v>45571</v>
      </c>
      <c r="W100" s="181">
        <f t="shared" si="17"/>
        <v>1</v>
      </c>
      <c r="AD100" s="180">
        <f t="shared" si="26"/>
        <v>45571</v>
      </c>
      <c r="AE100" s="177">
        <f t="shared" si="20"/>
        <v>157</v>
      </c>
      <c r="AF100" s="177">
        <f t="shared" si="21"/>
        <v>157</v>
      </c>
      <c r="AG100" s="177">
        <f t="shared" si="22"/>
        <v>149</v>
      </c>
      <c r="AH100" s="177">
        <f t="shared" si="23"/>
        <v>149</v>
      </c>
      <c r="AI100" s="177">
        <f t="shared" si="24"/>
        <v>149</v>
      </c>
      <c r="AK100" s="125" t="s">
        <v>399</v>
      </c>
      <c r="AL100" s="125" t="s">
        <v>400</v>
      </c>
      <c r="AM100" s="125" t="s">
        <v>400</v>
      </c>
      <c r="AN100" s="125" t="s">
        <v>386</v>
      </c>
    </row>
    <row r="101" spans="15:40" x14ac:dyDescent="0.25">
      <c r="O101" s="180">
        <f t="shared" si="25"/>
        <v>45572</v>
      </c>
      <c r="P101" s="181">
        <f t="shared" si="18"/>
        <v>2</v>
      </c>
      <c r="Q101" s="26">
        <f t="shared" si="27"/>
        <v>1</v>
      </c>
      <c r="R101" s="26">
        <f t="shared" si="27"/>
        <v>1</v>
      </c>
      <c r="S101" s="26">
        <f t="shared" si="27"/>
        <v>1</v>
      </c>
      <c r="T101" s="26">
        <f t="shared" si="27"/>
        <v>1</v>
      </c>
      <c r="U101" s="26">
        <f t="shared" si="28"/>
        <v>1</v>
      </c>
      <c r="V101" s="180">
        <f t="shared" si="19"/>
        <v>45572</v>
      </c>
      <c r="W101" s="181">
        <f t="shared" si="17"/>
        <v>2</v>
      </c>
      <c r="AC101" t="s">
        <v>13</v>
      </c>
      <c r="AD101" s="180">
        <f t="shared" si="26"/>
        <v>45572</v>
      </c>
      <c r="AE101" s="177">
        <f t="shared" si="20"/>
        <v>156</v>
      </c>
      <c r="AF101" s="177">
        <f t="shared" si="21"/>
        <v>156</v>
      </c>
      <c r="AG101" s="177">
        <f t="shared" si="22"/>
        <v>148</v>
      </c>
      <c r="AH101" s="177">
        <f t="shared" si="23"/>
        <v>148</v>
      </c>
      <c r="AI101" s="177">
        <f t="shared" si="24"/>
        <v>148</v>
      </c>
      <c r="AK101" s="125" t="s">
        <v>304</v>
      </c>
      <c r="AL101" s="125" t="s">
        <v>305</v>
      </c>
      <c r="AM101" s="125" t="s">
        <v>306</v>
      </c>
      <c r="AN101" s="125" t="s">
        <v>222</v>
      </c>
    </row>
    <row r="102" spans="15:40" x14ac:dyDescent="0.25">
      <c r="O102" s="180">
        <f t="shared" si="25"/>
        <v>45573</v>
      </c>
      <c r="P102" s="181">
        <f t="shared" si="18"/>
        <v>3</v>
      </c>
      <c r="Q102" s="26">
        <f t="shared" si="27"/>
        <v>1</v>
      </c>
      <c r="R102" s="26">
        <f t="shared" si="27"/>
        <v>1</v>
      </c>
      <c r="S102" s="26">
        <f t="shared" si="27"/>
        <v>1</v>
      </c>
      <c r="T102" s="26">
        <f t="shared" si="27"/>
        <v>1</v>
      </c>
      <c r="U102" s="26">
        <f t="shared" si="28"/>
        <v>1</v>
      </c>
      <c r="V102" s="180">
        <f t="shared" si="19"/>
        <v>45573</v>
      </c>
      <c r="W102" s="181">
        <f t="shared" si="17"/>
        <v>3</v>
      </c>
      <c r="AC102" t="s">
        <v>410</v>
      </c>
      <c r="AD102" s="180">
        <f t="shared" si="26"/>
        <v>45573</v>
      </c>
      <c r="AE102" s="177">
        <f t="shared" si="20"/>
        <v>155</v>
      </c>
      <c r="AF102" s="177">
        <f t="shared" si="21"/>
        <v>155</v>
      </c>
      <c r="AG102" s="177">
        <f t="shared" si="22"/>
        <v>147</v>
      </c>
      <c r="AH102" s="177">
        <f t="shared" si="23"/>
        <v>147</v>
      </c>
      <c r="AI102" s="177">
        <f t="shared" si="24"/>
        <v>147</v>
      </c>
      <c r="AK102" s="125" t="s">
        <v>140</v>
      </c>
      <c r="AL102" s="125" t="s">
        <v>141</v>
      </c>
      <c r="AM102" s="125" t="s">
        <v>142</v>
      </c>
      <c r="AN102" s="125" t="s">
        <v>107</v>
      </c>
    </row>
    <row r="103" spans="15:40" x14ac:dyDescent="0.25">
      <c r="O103" s="180">
        <f t="shared" si="25"/>
        <v>45574</v>
      </c>
      <c r="P103" s="181">
        <f t="shared" si="18"/>
        <v>4</v>
      </c>
      <c r="Q103" s="26">
        <f t="shared" si="27"/>
        <v>1</v>
      </c>
      <c r="R103" s="26">
        <f t="shared" si="27"/>
        <v>1</v>
      </c>
      <c r="S103" s="26">
        <f t="shared" si="27"/>
        <v>1</v>
      </c>
      <c r="T103" s="26">
        <f t="shared" si="27"/>
        <v>1</v>
      </c>
      <c r="U103" s="26">
        <f t="shared" si="28"/>
        <v>1</v>
      </c>
      <c r="V103" s="180">
        <f t="shared" si="19"/>
        <v>45574</v>
      </c>
      <c r="W103" s="181">
        <f t="shared" si="17"/>
        <v>4</v>
      </c>
      <c r="AC103" t="s">
        <v>13</v>
      </c>
      <c r="AD103" s="180">
        <f t="shared" si="26"/>
        <v>45574</v>
      </c>
      <c r="AE103" s="177">
        <f t="shared" si="20"/>
        <v>154</v>
      </c>
      <c r="AF103" s="177">
        <f t="shared" si="21"/>
        <v>154</v>
      </c>
      <c r="AG103" s="177">
        <f t="shared" si="22"/>
        <v>146</v>
      </c>
      <c r="AH103" s="177">
        <f t="shared" si="23"/>
        <v>146</v>
      </c>
      <c r="AI103" s="177">
        <f t="shared" si="24"/>
        <v>146</v>
      </c>
      <c r="AK103" s="125" t="s">
        <v>356</v>
      </c>
      <c r="AL103" s="125" t="s">
        <v>357</v>
      </c>
      <c r="AM103" s="125" t="s">
        <v>358</v>
      </c>
      <c r="AN103" s="125" t="s">
        <v>337</v>
      </c>
    </row>
    <row r="104" spans="15:40" x14ac:dyDescent="0.25">
      <c r="O104" s="180">
        <f t="shared" si="25"/>
        <v>45575</v>
      </c>
      <c r="P104" s="181">
        <f t="shared" si="18"/>
        <v>5</v>
      </c>
      <c r="Q104" s="26">
        <f t="shared" si="27"/>
        <v>1</v>
      </c>
      <c r="R104" s="26">
        <f t="shared" si="27"/>
        <v>1</v>
      </c>
      <c r="S104" s="26">
        <f t="shared" si="27"/>
        <v>1</v>
      </c>
      <c r="T104" s="26">
        <f t="shared" si="27"/>
        <v>1</v>
      </c>
      <c r="U104" s="26">
        <f t="shared" si="28"/>
        <v>1</v>
      </c>
      <c r="V104" s="180">
        <f t="shared" si="19"/>
        <v>45575</v>
      </c>
      <c r="W104" s="181">
        <f t="shared" si="17"/>
        <v>5</v>
      </c>
      <c r="AC104" t="s">
        <v>410</v>
      </c>
      <c r="AD104" s="180">
        <f t="shared" si="26"/>
        <v>45575</v>
      </c>
      <c r="AE104" s="177">
        <f t="shared" si="20"/>
        <v>153</v>
      </c>
      <c r="AF104" s="177">
        <f t="shared" si="21"/>
        <v>153</v>
      </c>
      <c r="AG104" s="177">
        <f t="shared" si="22"/>
        <v>145</v>
      </c>
      <c r="AH104" s="177">
        <f t="shared" si="23"/>
        <v>145</v>
      </c>
      <c r="AI104" s="177">
        <f t="shared" si="24"/>
        <v>145</v>
      </c>
      <c r="AK104" s="125" t="s">
        <v>420</v>
      </c>
      <c r="AL104" s="125" t="s">
        <v>421</v>
      </c>
      <c r="AM104" s="125" t="s">
        <v>422</v>
      </c>
      <c r="AN104" s="125" t="s">
        <v>107</v>
      </c>
    </row>
    <row r="105" spans="15:40" x14ac:dyDescent="0.25">
      <c r="O105" s="180">
        <f t="shared" si="25"/>
        <v>45576</v>
      </c>
      <c r="P105" s="181">
        <f t="shared" si="18"/>
        <v>6</v>
      </c>
      <c r="Q105" s="26">
        <f t="shared" si="27"/>
        <v>1</v>
      </c>
      <c r="R105" s="26">
        <f t="shared" si="27"/>
        <v>1</v>
      </c>
      <c r="S105" s="26">
        <f t="shared" si="27"/>
        <v>1</v>
      </c>
      <c r="T105" s="26">
        <f t="shared" si="27"/>
        <v>1</v>
      </c>
      <c r="U105" s="26">
        <f t="shared" si="28"/>
        <v>1</v>
      </c>
      <c r="V105" s="180">
        <f t="shared" si="19"/>
        <v>45576</v>
      </c>
      <c r="W105" s="181">
        <f t="shared" si="17"/>
        <v>6</v>
      </c>
      <c r="AC105" t="s">
        <v>13</v>
      </c>
      <c r="AD105" s="180">
        <f t="shared" si="26"/>
        <v>45576</v>
      </c>
      <c r="AE105" s="177">
        <f t="shared" si="20"/>
        <v>152</v>
      </c>
      <c r="AF105" s="177">
        <f t="shared" si="21"/>
        <v>152</v>
      </c>
      <c r="AG105" s="177">
        <f t="shared" si="22"/>
        <v>144</v>
      </c>
      <c r="AH105" s="177">
        <f t="shared" si="23"/>
        <v>144</v>
      </c>
      <c r="AI105" s="177">
        <f t="shared" si="24"/>
        <v>144</v>
      </c>
      <c r="AK105" s="125" t="s">
        <v>146</v>
      </c>
      <c r="AL105" s="125" t="s">
        <v>147</v>
      </c>
      <c r="AM105" s="125" t="s">
        <v>148</v>
      </c>
      <c r="AN105" s="125" t="s">
        <v>107</v>
      </c>
    </row>
    <row r="106" spans="15:40" x14ac:dyDescent="0.25">
      <c r="O106" s="180">
        <f t="shared" si="25"/>
        <v>45577</v>
      </c>
      <c r="P106" s="181">
        <f t="shared" si="18"/>
        <v>7</v>
      </c>
      <c r="Q106" s="26" t="str">
        <f t="shared" si="27"/>
        <v/>
      </c>
      <c r="R106" s="26" t="str">
        <f t="shared" si="27"/>
        <v/>
      </c>
      <c r="S106" s="26" t="str">
        <f t="shared" si="27"/>
        <v/>
      </c>
      <c r="T106" s="26" t="str">
        <f t="shared" si="27"/>
        <v/>
      </c>
      <c r="U106" s="26" t="str">
        <f t="shared" si="28"/>
        <v/>
      </c>
      <c r="V106" s="180">
        <f t="shared" si="19"/>
        <v>45577</v>
      </c>
      <c r="W106" s="181">
        <f t="shared" si="17"/>
        <v>7</v>
      </c>
      <c r="AD106" s="180">
        <f t="shared" si="26"/>
        <v>45577</v>
      </c>
      <c r="AE106" s="177">
        <f t="shared" si="20"/>
        <v>152</v>
      </c>
      <c r="AF106" s="177">
        <f t="shared" si="21"/>
        <v>152</v>
      </c>
      <c r="AG106" s="177">
        <f t="shared" si="22"/>
        <v>144</v>
      </c>
      <c r="AH106" s="177">
        <f t="shared" si="23"/>
        <v>144</v>
      </c>
      <c r="AI106" s="177">
        <f t="shared" si="24"/>
        <v>144</v>
      </c>
      <c r="AK106" s="125" t="s">
        <v>307</v>
      </c>
      <c r="AL106" s="125" t="s">
        <v>308</v>
      </c>
      <c r="AM106" s="125" t="s">
        <v>309</v>
      </c>
      <c r="AN106" s="125" t="s">
        <v>222</v>
      </c>
    </row>
    <row r="107" spans="15:40" x14ac:dyDescent="0.25">
      <c r="O107" s="180">
        <f t="shared" si="25"/>
        <v>45578</v>
      </c>
      <c r="P107" s="181">
        <f t="shared" si="18"/>
        <v>1</v>
      </c>
      <c r="Q107" s="26" t="str">
        <f t="shared" si="27"/>
        <v/>
      </c>
      <c r="R107" s="26" t="str">
        <f t="shared" si="27"/>
        <v/>
      </c>
      <c r="S107" s="26" t="str">
        <f t="shared" si="27"/>
        <v/>
      </c>
      <c r="T107" s="26" t="str">
        <f t="shared" si="27"/>
        <v/>
      </c>
      <c r="U107" s="26" t="str">
        <f t="shared" si="28"/>
        <v/>
      </c>
      <c r="V107" s="180">
        <f t="shared" si="19"/>
        <v>45578</v>
      </c>
      <c r="W107" s="181">
        <f t="shared" si="17"/>
        <v>1</v>
      </c>
      <c r="AD107" s="180">
        <f t="shared" si="26"/>
        <v>45578</v>
      </c>
      <c r="AE107" s="177">
        <f t="shared" si="20"/>
        <v>152</v>
      </c>
      <c r="AF107" s="177">
        <f t="shared" si="21"/>
        <v>152</v>
      </c>
      <c r="AG107" s="177">
        <f t="shared" si="22"/>
        <v>144</v>
      </c>
      <c r="AH107" s="177">
        <f t="shared" si="23"/>
        <v>144</v>
      </c>
      <c r="AI107" s="177">
        <f t="shared" si="24"/>
        <v>144</v>
      </c>
      <c r="AK107" s="125" t="s">
        <v>189</v>
      </c>
      <c r="AL107" s="125" t="s">
        <v>190</v>
      </c>
      <c r="AM107" s="125" t="s">
        <v>191</v>
      </c>
      <c r="AN107" s="125" t="s">
        <v>107</v>
      </c>
    </row>
    <row r="108" spans="15:40" x14ac:dyDescent="0.25">
      <c r="O108" s="180">
        <f t="shared" si="25"/>
        <v>45579</v>
      </c>
      <c r="P108" s="181">
        <f t="shared" si="18"/>
        <v>2</v>
      </c>
      <c r="Q108" s="26">
        <f t="shared" si="27"/>
        <v>1</v>
      </c>
      <c r="R108" s="26">
        <f t="shared" si="27"/>
        <v>1</v>
      </c>
      <c r="S108" s="26">
        <f t="shared" si="27"/>
        <v>1</v>
      </c>
      <c r="T108" s="26">
        <f t="shared" si="27"/>
        <v>1</v>
      </c>
      <c r="U108" s="26">
        <f t="shared" si="28"/>
        <v>1</v>
      </c>
      <c r="V108" s="180">
        <f t="shared" si="19"/>
        <v>45579</v>
      </c>
      <c r="W108" s="181">
        <f t="shared" si="17"/>
        <v>2</v>
      </c>
      <c r="AC108" t="s">
        <v>410</v>
      </c>
      <c r="AD108" s="180">
        <f t="shared" si="26"/>
        <v>45579</v>
      </c>
      <c r="AE108" s="177">
        <f t="shared" si="20"/>
        <v>151</v>
      </c>
      <c r="AF108" s="177">
        <f t="shared" si="21"/>
        <v>151</v>
      </c>
      <c r="AG108" s="177">
        <f t="shared" si="22"/>
        <v>143</v>
      </c>
      <c r="AH108" s="177">
        <f t="shared" si="23"/>
        <v>143</v>
      </c>
      <c r="AI108" s="177">
        <f t="shared" si="24"/>
        <v>143</v>
      </c>
      <c r="AK108" s="125" t="s">
        <v>384</v>
      </c>
      <c r="AL108" s="125" t="s">
        <v>385</v>
      </c>
      <c r="AM108" s="125" t="s">
        <v>385</v>
      </c>
      <c r="AN108" s="125" t="s">
        <v>374</v>
      </c>
    </row>
    <row r="109" spans="15:40" x14ac:dyDescent="0.25">
      <c r="O109" s="180">
        <f t="shared" si="25"/>
        <v>45580</v>
      </c>
      <c r="P109" s="181">
        <f t="shared" si="18"/>
        <v>3</v>
      </c>
      <c r="Q109" s="26">
        <f t="shared" si="27"/>
        <v>1</v>
      </c>
      <c r="R109" s="26">
        <f t="shared" si="27"/>
        <v>1</v>
      </c>
      <c r="S109" s="26">
        <f t="shared" si="27"/>
        <v>1</v>
      </c>
      <c r="T109" s="26">
        <f t="shared" si="27"/>
        <v>1</v>
      </c>
      <c r="U109" s="26">
        <f t="shared" si="28"/>
        <v>1</v>
      </c>
      <c r="V109" s="180">
        <f t="shared" si="19"/>
        <v>45580</v>
      </c>
      <c r="W109" s="181">
        <f t="shared" si="17"/>
        <v>3</v>
      </c>
      <c r="AC109" t="s">
        <v>13</v>
      </c>
      <c r="AD109" s="180">
        <f t="shared" si="26"/>
        <v>45580</v>
      </c>
      <c r="AE109" s="177">
        <f t="shared" si="20"/>
        <v>150</v>
      </c>
      <c r="AF109" s="177">
        <f t="shared" si="21"/>
        <v>150</v>
      </c>
      <c r="AG109" s="177">
        <f t="shared" si="22"/>
        <v>142</v>
      </c>
      <c r="AH109" s="177">
        <f t="shared" si="23"/>
        <v>142</v>
      </c>
      <c r="AI109" s="177">
        <f t="shared" si="24"/>
        <v>142</v>
      </c>
      <c r="AK109" s="125" t="s">
        <v>313</v>
      </c>
      <c r="AL109" s="125" t="s">
        <v>314</v>
      </c>
      <c r="AM109" s="125" t="s">
        <v>315</v>
      </c>
      <c r="AN109" s="125" t="s">
        <v>222</v>
      </c>
    </row>
    <row r="110" spans="15:40" x14ac:dyDescent="0.25">
      <c r="O110" s="180">
        <f t="shared" si="25"/>
        <v>45581</v>
      </c>
      <c r="P110" s="181">
        <f t="shared" si="18"/>
        <v>4</v>
      </c>
      <c r="Q110" s="26">
        <f t="shared" si="27"/>
        <v>1</v>
      </c>
      <c r="R110" s="26">
        <f t="shared" si="27"/>
        <v>1</v>
      </c>
      <c r="S110" s="26">
        <f t="shared" si="27"/>
        <v>1</v>
      </c>
      <c r="T110" s="26">
        <f t="shared" si="27"/>
        <v>1</v>
      </c>
      <c r="U110" s="26">
        <f t="shared" si="28"/>
        <v>1</v>
      </c>
      <c r="V110" s="180">
        <f t="shared" si="19"/>
        <v>45581</v>
      </c>
      <c r="W110" s="181">
        <f t="shared" si="17"/>
        <v>4</v>
      </c>
      <c r="AC110" t="s">
        <v>410</v>
      </c>
      <c r="AD110" s="180">
        <f t="shared" si="26"/>
        <v>45581</v>
      </c>
      <c r="AE110" s="177">
        <f t="shared" si="20"/>
        <v>149</v>
      </c>
      <c r="AF110" s="177">
        <f t="shared" si="21"/>
        <v>149</v>
      </c>
      <c r="AG110" s="177">
        <f t="shared" si="22"/>
        <v>141</v>
      </c>
      <c r="AH110" s="177">
        <f t="shared" si="23"/>
        <v>141</v>
      </c>
      <c r="AI110" s="177">
        <f t="shared" si="24"/>
        <v>141</v>
      </c>
      <c r="AK110" s="125" t="s">
        <v>350</v>
      </c>
      <c r="AL110" s="125" t="s">
        <v>351</v>
      </c>
      <c r="AM110" s="125" t="s">
        <v>352</v>
      </c>
      <c r="AN110" s="125" t="s">
        <v>337</v>
      </c>
    </row>
    <row r="111" spans="15:40" x14ac:dyDescent="0.25">
      <c r="O111" s="180">
        <f t="shared" si="25"/>
        <v>45582</v>
      </c>
      <c r="P111" s="181">
        <f t="shared" si="18"/>
        <v>5</v>
      </c>
      <c r="Q111" s="26">
        <f t="shared" si="27"/>
        <v>1</v>
      </c>
      <c r="R111" s="26">
        <f t="shared" si="27"/>
        <v>1</v>
      </c>
      <c r="S111" s="26">
        <f t="shared" si="27"/>
        <v>1</v>
      </c>
      <c r="T111" s="26">
        <f t="shared" si="27"/>
        <v>1</v>
      </c>
      <c r="U111" s="26">
        <f t="shared" si="28"/>
        <v>1</v>
      </c>
      <c r="V111" s="180">
        <f t="shared" si="19"/>
        <v>45582</v>
      </c>
      <c r="W111" s="181">
        <f t="shared" si="17"/>
        <v>5</v>
      </c>
      <c r="AC111" t="s">
        <v>13</v>
      </c>
      <c r="AD111" s="180">
        <f t="shared" si="26"/>
        <v>45582</v>
      </c>
      <c r="AE111" s="177">
        <f t="shared" si="20"/>
        <v>148</v>
      </c>
      <c r="AF111" s="177">
        <f t="shared" si="21"/>
        <v>148</v>
      </c>
      <c r="AG111" s="177">
        <f t="shared" si="22"/>
        <v>140</v>
      </c>
      <c r="AH111" s="177">
        <f t="shared" si="23"/>
        <v>140</v>
      </c>
      <c r="AI111" s="177">
        <f t="shared" si="24"/>
        <v>140</v>
      </c>
      <c r="AK111" s="125" t="s">
        <v>388</v>
      </c>
      <c r="AL111" s="125" t="s">
        <v>389</v>
      </c>
      <c r="AM111" s="125" t="s">
        <v>390</v>
      </c>
      <c r="AN111" s="125" t="s">
        <v>374</v>
      </c>
    </row>
    <row r="112" spans="15:40" x14ac:dyDescent="0.25">
      <c r="O112" s="180">
        <f t="shared" si="25"/>
        <v>45583</v>
      </c>
      <c r="P112" s="181">
        <f t="shared" si="18"/>
        <v>6</v>
      </c>
      <c r="Q112" s="26">
        <f t="shared" si="27"/>
        <v>1</v>
      </c>
      <c r="R112" s="26">
        <f t="shared" si="27"/>
        <v>1</v>
      </c>
      <c r="S112" s="26">
        <f t="shared" si="27"/>
        <v>1</v>
      </c>
      <c r="T112" s="26">
        <f t="shared" si="27"/>
        <v>1</v>
      </c>
      <c r="U112" s="26">
        <f t="shared" si="28"/>
        <v>1</v>
      </c>
      <c r="V112" s="180">
        <f t="shared" si="19"/>
        <v>45583</v>
      </c>
      <c r="W112" s="181">
        <f t="shared" si="17"/>
        <v>6</v>
      </c>
      <c r="AC112" t="s">
        <v>410</v>
      </c>
      <c r="AD112" s="180">
        <f t="shared" si="26"/>
        <v>45583</v>
      </c>
      <c r="AE112" s="177">
        <f t="shared" si="20"/>
        <v>147</v>
      </c>
      <c r="AF112" s="177">
        <f t="shared" si="21"/>
        <v>147</v>
      </c>
      <c r="AG112" s="177">
        <f t="shared" si="22"/>
        <v>139</v>
      </c>
      <c r="AH112" s="177">
        <f t="shared" si="23"/>
        <v>139</v>
      </c>
      <c r="AI112" s="177">
        <f t="shared" si="24"/>
        <v>139</v>
      </c>
      <c r="AK112" s="125" t="s">
        <v>344</v>
      </c>
      <c r="AL112" s="125" t="s">
        <v>345</v>
      </c>
      <c r="AM112" s="125" t="s">
        <v>346</v>
      </c>
      <c r="AN112" s="125" t="s">
        <v>337</v>
      </c>
    </row>
    <row r="113" spans="15:40" x14ac:dyDescent="0.25">
      <c r="O113" s="180">
        <f t="shared" si="25"/>
        <v>45584</v>
      </c>
      <c r="P113" s="181">
        <f t="shared" si="18"/>
        <v>7</v>
      </c>
      <c r="Q113" s="26" t="str">
        <f t="shared" si="27"/>
        <v/>
      </c>
      <c r="R113" s="26" t="str">
        <f t="shared" si="27"/>
        <v/>
      </c>
      <c r="S113" s="26" t="str">
        <f t="shared" si="27"/>
        <v/>
      </c>
      <c r="T113" s="26" t="str">
        <f t="shared" si="27"/>
        <v/>
      </c>
      <c r="U113" s="26" t="str">
        <f t="shared" si="28"/>
        <v/>
      </c>
      <c r="V113" s="180">
        <f t="shared" si="19"/>
        <v>45584</v>
      </c>
      <c r="W113" s="181">
        <f t="shared" si="17"/>
        <v>7</v>
      </c>
      <c r="AD113" s="180">
        <f t="shared" si="26"/>
        <v>45584</v>
      </c>
      <c r="AE113" s="177">
        <f t="shared" si="20"/>
        <v>147</v>
      </c>
      <c r="AF113" s="177">
        <f t="shared" si="21"/>
        <v>147</v>
      </c>
      <c r="AG113" s="177">
        <f t="shared" si="22"/>
        <v>139</v>
      </c>
      <c r="AH113" s="177">
        <f t="shared" si="23"/>
        <v>139</v>
      </c>
      <c r="AI113" s="177">
        <f t="shared" si="24"/>
        <v>139</v>
      </c>
      <c r="AK113" s="125" t="s">
        <v>319</v>
      </c>
      <c r="AL113" s="125" t="s">
        <v>320</v>
      </c>
      <c r="AM113" s="125" t="s">
        <v>321</v>
      </c>
      <c r="AN113" s="125" t="s">
        <v>222</v>
      </c>
    </row>
    <row r="114" spans="15:40" x14ac:dyDescent="0.25">
      <c r="O114" s="180">
        <f t="shared" si="25"/>
        <v>45585</v>
      </c>
      <c r="P114" s="181">
        <f t="shared" si="18"/>
        <v>1</v>
      </c>
      <c r="Q114" s="26" t="str">
        <f t="shared" si="27"/>
        <v/>
      </c>
      <c r="R114" s="26" t="str">
        <f t="shared" si="27"/>
        <v/>
      </c>
      <c r="S114" s="26" t="str">
        <f t="shared" si="27"/>
        <v/>
      </c>
      <c r="T114" s="26" t="str">
        <f t="shared" si="27"/>
        <v/>
      </c>
      <c r="U114" s="26" t="str">
        <f t="shared" si="28"/>
        <v/>
      </c>
      <c r="V114" s="180">
        <f t="shared" si="19"/>
        <v>45585</v>
      </c>
      <c r="W114" s="181">
        <f t="shared" si="17"/>
        <v>1</v>
      </c>
      <c r="AD114" s="180">
        <f t="shared" si="26"/>
        <v>45585</v>
      </c>
      <c r="AE114" s="177">
        <f t="shared" si="20"/>
        <v>147</v>
      </c>
      <c r="AF114" s="177">
        <f t="shared" si="21"/>
        <v>147</v>
      </c>
      <c r="AG114" s="177">
        <f t="shared" si="22"/>
        <v>139</v>
      </c>
      <c r="AH114" s="177">
        <f t="shared" si="23"/>
        <v>139</v>
      </c>
      <c r="AI114" s="177">
        <f t="shared" si="24"/>
        <v>139</v>
      </c>
      <c r="AK114" s="125" t="s">
        <v>316</v>
      </c>
      <c r="AL114" s="125" t="s">
        <v>317</v>
      </c>
      <c r="AM114" s="125" t="s">
        <v>318</v>
      </c>
      <c r="AN114" s="125" t="s">
        <v>222</v>
      </c>
    </row>
    <row r="115" spans="15:40" x14ac:dyDescent="0.25">
      <c r="O115" s="180">
        <f t="shared" si="25"/>
        <v>45586</v>
      </c>
      <c r="P115" s="181">
        <f t="shared" si="18"/>
        <v>2</v>
      </c>
      <c r="Q115" s="26" t="s">
        <v>83</v>
      </c>
      <c r="R115" s="26" t="s">
        <v>83</v>
      </c>
      <c r="S115" s="26" t="s">
        <v>83</v>
      </c>
      <c r="T115" s="26" t="s">
        <v>83</v>
      </c>
      <c r="U115" s="26" t="s">
        <v>83</v>
      </c>
      <c r="V115" s="180">
        <f t="shared" si="19"/>
        <v>45586</v>
      </c>
      <c r="W115" s="181">
        <f t="shared" si="17"/>
        <v>2</v>
      </c>
      <c r="AD115" s="180">
        <f t="shared" si="26"/>
        <v>45586</v>
      </c>
      <c r="AE115" s="177">
        <f t="shared" si="20"/>
        <v>147</v>
      </c>
      <c r="AF115" s="177">
        <f t="shared" si="21"/>
        <v>147</v>
      </c>
      <c r="AG115" s="177">
        <f t="shared" si="22"/>
        <v>139</v>
      </c>
      <c r="AH115" s="177">
        <f t="shared" si="23"/>
        <v>139</v>
      </c>
      <c r="AI115" s="177">
        <f t="shared" si="24"/>
        <v>139</v>
      </c>
    </row>
    <row r="116" spans="15:40" x14ac:dyDescent="0.25">
      <c r="O116" s="180">
        <f t="shared" si="25"/>
        <v>45587</v>
      </c>
      <c r="P116" s="181">
        <f t="shared" si="18"/>
        <v>3</v>
      </c>
      <c r="Q116" s="26" t="s">
        <v>83</v>
      </c>
      <c r="R116" s="26" t="s">
        <v>83</v>
      </c>
      <c r="S116" s="26" t="s">
        <v>83</v>
      </c>
      <c r="T116" s="26" t="s">
        <v>83</v>
      </c>
      <c r="U116" s="26" t="s">
        <v>83</v>
      </c>
      <c r="V116" s="180">
        <f t="shared" si="19"/>
        <v>45587</v>
      </c>
      <c r="W116" s="181">
        <f t="shared" si="17"/>
        <v>3</v>
      </c>
      <c r="AD116" s="180">
        <f t="shared" si="26"/>
        <v>45587</v>
      </c>
      <c r="AE116" s="177">
        <f t="shared" si="20"/>
        <v>147</v>
      </c>
      <c r="AF116" s="177">
        <f t="shared" si="21"/>
        <v>147</v>
      </c>
      <c r="AG116" s="177">
        <f t="shared" si="22"/>
        <v>139</v>
      </c>
      <c r="AH116" s="177">
        <f t="shared" si="23"/>
        <v>139</v>
      </c>
      <c r="AI116" s="177">
        <f t="shared" si="24"/>
        <v>139</v>
      </c>
    </row>
    <row r="117" spans="15:40" x14ac:dyDescent="0.25">
      <c r="O117" s="180">
        <f t="shared" si="25"/>
        <v>45588</v>
      </c>
      <c r="P117" s="181">
        <f t="shared" si="18"/>
        <v>4</v>
      </c>
      <c r="Q117" s="26" t="s">
        <v>83</v>
      </c>
      <c r="R117" s="26" t="s">
        <v>83</v>
      </c>
      <c r="S117" s="26" t="s">
        <v>83</v>
      </c>
      <c r="T117" s="26" t="s">
        <v>83</v>
      </c>
      <c r="U117" s="26" t="s">
        <v>83</v>
      </c>
      <c r="V117" s="180">
        <f t="shared" si="19"/>
        <v>45588</v>
      </c>
      <c r="W117" s="181">
        <f t="shared" si="17"/>
        <v>4</v>
      </c>
      <c r="AD117" s="180">
        <f t="shared" si="26"/>
        <v>45588</v>
      </c>
      <c r="AE117" s="177">
        <f t="shared" si="20"/>
        <v>147</v>
      </c>
      <c r="AF117" s="177">
        <f t="shared" si="21"/>
        <v>147</v>
      </c>
      <c r="AG117" s="177">
        <f t="shared" si="22"/>
        <v>139</v>
      </c>
      <c r="AH117" s="177">
        <f t="shared" si="23"/>
        <v>139</v>
      </c>
      <c r="AI117" s="177">
        <f t="shared" si="24"/>
        <v>139</v>
      </c>
    </row>
    <row r="118" spans="15:40" x14ac:dyDescent="0.25">
      <c r="O118" s="180">
        <f t="shared" si="25"/>
        <v>45589</v>
      </c>
      <c r="P118" s="181">
        <f t="shared" si="18"/>
        <v>5</v>
      </c>
      <c r="Q118" s="26" t="s">
        <v>83</v>
      </c>
      <c r="R118" s="26" t="s">
        <v>83</v>
      </c>
      <c r="S118" s="26" t="s">
        <v>83</v>
      </c>
      <c r="T118" s="26" t="s">
        <v>83</v>
      </c>
      <c r="U118" s="26" t="s">
        <v>83</v>
      </c>
      <c r="V118" s="180">
        <f t="shared" si="19"/>
        <v>45589</v>
      </c>
      <c r="W118" s="181">
        <f t="shared" si="17"/>
        <v>5</v>
      </c>
      <c r="AD118" s="180">
        <f t="shared" si="26"/>
        <v>45589</v>
      </c>
      <c r="AE118" s="177">
        <f t="shared" si="20"/>
        <v>147</v>
      </c>
      <c r="AF118" s="177">
        <f t="shared" si="21"/>
        <v>147</v>
      </c>
      <c r="AG118" s="177">
        <f t="shared" si="22"/>
        <v>139</v>
      </c>
      <c r="AH118" s="177">
        <f t="shared" si="23"/>
        <v>139</v>
      </c>
      <c r="AI118" s="177">
        <f t="shared" si="24"/>
        <v>139</v>
      </c>
    </row>
    <row r="119" spans="15:40" x14ac:dyDescent="0.25">
      <c r="O119" s="180">
        <f t="shared" si="25"/>
        <v>45590</v>
      </c>
      <c r="P119" s="181">
        <f t="shared" si="18"/>
        <v>6</v>
      </c>
      <c r="Q119" s="26" t="s">
        <v>83</v>
      </c>
      <c r="R119" s="26" t="s">
        <v>83</v>
      </c>
      <c r="S119" s="26" t="s">
        <v>83</v>
      </c>
      <c r="T119" s="26" t="s">
        <v>83</v>
      </c>
      <c r="U119" s="26" t="s">
        <v>83</v>
      </c>
      <c r="V119" s="180">
        <f t="shared" si="19"/>
        <v>45590</v>
      </c>
      <c r="W119" s="181">
        <f t="shared" si="17"/>
        <v>6</v>
      </c>
      <c r="AD119" s="180">
        <f t="shared" si="26"/>
        <v>45590</v>
      </c>
      <c r="AE119" s="177">
        <f t="shared" si="20"/>
        <v>147</v>
      </c>
      <c r="AF119" s="177">
        <f t="shared" si="21"/>
        <v>147</v>
      </c>
      <c r="AG119" s="177">
        <f t="shared" si="22"/>
        <v>139</v>
      </c>
      <c r="AH119" s="177">
        <f t="shared" si="23"/>
        <v>139</v>
      </c>
      <c r="AI119" s="177">
        <f t="shared" si="24"/>
        <v>139</v>
      </c>
    </row>
    <row r="120" spans="15:40" x14ac:dyDescent="0.25">
      <c r="O120" s="180">
        <f t="shared" si="25"/>
        <v>45591</v>
      </c>
      <c r="P120" s="181">
        <f t="shared" si="18"/>
        <v>7</v>
      </c>
      <c r="Q120" s="26" t="str">
        <f t="shared" ref="Q120:U123" si="29">IF(OR($P120=2,$P120=3,$P120=4,$P120=5,$P120=6),1,"")</f>
        <v/>
      </c>
      <c r="R120" s="26" t="str">
        <f t="shared" si="29"/>
        <v/>
      </c>
      <c r="S120" s="26" t="str">
        <f t="shared" si="29"/>
        <v/>
      </c>
      <c r="T120" s="26" t="str">
        <f t="shared" si="29"/>
        <v/>
      </c>
      <c r="U120" s="26" t="str">
        <f t="shared" si="29"/>
        <v/>
      </c>
      <c r="V120" s="180">
        <f t="shared" si="19"/>
        <v>45591</v>
      </c>
      <c r="W120" s="181">
        <f t="shared" si="17"/>
        <v>7</v>
      </c>
      <c r="AD120" s="180">
        <f t="shared" si="26"/>
        <v>45591</v>
      </c>
      <c r="AE120" s="177">
        <f t="shared" si="20"/>
        <v>147</v>
      </c>
      <c r="AF120" s="177">
        <f t="shared" si="21"/>
        <v>147</v>
      </c>
      <c r="AG120" s="177">
        <f t="shared" si="22"/>
        <v>139</v>
      </c>
      <c r="AH120" s="177">
        <f t="shared" si="23"/>
        <v>139</v>
      </c>
      <c r="AI120" s="177">
        <f t="shared" si="24"/>
        <v>139</v>
      </c>
    </row>
    <row r="121" spans="15:40" x14ac:dyDescent="0.25">
      <c r="O121" s="180">
        <f t="shared" si="25"/>
        <v>45592</v>
      </c>
      <c r="P121" s="181">
        <f t="shared" si="18"/>
        <v>1</v>
      </c>
      <c r="Q121" s="26" t="str">
        <f t="shared" si="29"/>
        <v/>
      </c>
      <c r="R121" s="26" t="str">
        <f t="shared" si="29"/>
        <v/>
      </c>
      <c r="S121" s="26" t="str">
        <f t="shared" si="29"/>
        <v/>
      </c>
      <c r="T121" s="26" t="str">
        <f t="shared" si="29"/>
        <v/>
      </c>
      <c r="U121" s="26" t="str">
        <f t="shared" si="29"/>
        <v/>
      </c>
      <c r="V121" s="180">
        <f t="shared" si="19"/>
        <v>45592</v>
      </c>
      <c r="W121" s="181">
        <f t="shared" si="17"/>
        <v>1</v>
      </c>
      <c r="AD121" s="180">
        <f t="shared" si="26"/>
        <v>45592</v>
      </c>
      <c r="AE121" s="177">
        <f t="shared" si="20"/>
        <v>147</v>
      </c>
      <c r="AF121" s="177">
        <f t="shared" si="21"/>
        <v>147</v>
      </c>
      <c r="AG121" s="177">
        <f t="shared" si="22"/>
        <v>139</v>
      </c>
      <c r="AH121" s="177">
        <f t="shared" si="23"/>
        <v>139</v>
      </c>
      <c r="AI121" s="177">
        <f t="shared" si="24"/>
        <v>139</v>
      </c>
    </row>
    <row r="122" spans="15:40" x14ac:dyDescent="0.25">
      <c r="O122" s="180">
        <f t="shared" si="25"/>
        <v>45593</v>
      </c>
      <c r="P122" s="181">
        <f t="shared" si="18"/>
        <v>2</v>
      </c>
      <c r="Q122" s="26" t="s">
        <v>82</v>
      </c>
      <c r="R122" s="26" t="s">
        <v>82</v>
      </c>
      <c r="S122" s="26" t="s">
        <v>82</v>
      </c>
      <c r="T122" s="26" t="s">
        <v>82</v>
      </c>
      <c r="U122" s="26" t="s">
        <v>82</v>
      </c>
      <c r="V122" s="180">
        <f t="shared" si="19"/>
        <v>45593</v>
      </c>
      <c r="W122" s="181">
        <f t="shared" si="17"/>
        <v>2</v>
      </c>
      <c r="X122" t="s">
        <v>475</v>
      </c>
      <c r="Y122" t="s">
        <v>475</v>
      </c>
      <c r="Z122" t="s">
        <v>475</v>
      </c>
      <c r="AA122" t="s">
        <v>475</v>
      </c>
      <c r="AB122" t="s">
        <v>475</v>
      </c>
      <c r="AD122" s="180">
        <f t="shared" si="26"/>
        <v>45593</v>
      </c>
      <c r="AE122" s="177">
        <f t="shared" si="20"/>
        <v>147</v>
      </c>
      <c r="AF122" s="177">
        <f t="shared" si="21"/>
        <v>147</v>
      </c>
      <c r="AG122" s="177">
        <f t="shared" si="22"/>
        <v>139</v>
      </c>
      <c r="AH122" s="177">
        <f t="shared" si="23"/>
        <v>139</v>
      </c>
      <c r="AI122" s="177">
        <f t="shared" si="24"/>
        <v>139</v>
      </c>
    </row>
    <row r="123" spans="15:40" x14ac:dyDescent="0.25">
      <c r="O123" s="180">
        <f t="shared" si="25"/>
        <v>45594</v>
      </c>
      <c r="P123" s="181">
        <f t="shared" si="18"/>
        <v>3</v>
      </c>
      <c r="Q123" s="26">
        <f t="shared" si="29"/>
        <v>1</v>
      </c>
      <c r="R123" s="26">
        <f t="shared" si="29"/>
        <v>1</v>
      </c>
      <c r="S123" s="26">
        <f t="shared" si="29"/>
        <v>1</v>
      </c>
      <c r="T123" s="26">
        <f t="shared" si="29"/>
        <v>1</v>
      </c>
      <c r="U123" s="26">
        <f t="shared" si="29"/>
        <v>1</v>
      </c>
      <c r="V123" s="180">
        <f t="shared" si="19"/>
        <v>45594</v>
      </c>
      <c r="W123" s="181">
        <f t="shared" si="17"/>
        <v>3</v>
      </c>
      <c r="AC123" t="s">
        <v>13</v>
      </c>
      <c r="AD123" s="180">
        <f t="shared" si="26"/>
        <v>45594</v>
      </c>
      <c r="AE123" s="177">
        <f t="shared" si="20"/>
        <v>146</v>
      </c>
      <c r="AF123" s="177">
        <f t="shared" si="21"/>
        <v>146</v>
      </c>
      <c r="AG123" s="177">
        <f t="shared" si="22"/>
        <v>138</v>
      </c>
      <c r="AH123" s="177">
        <f t="shared" si="23"/>
        <v>138</v>
      </c>
      <c r="AI123" s="177">
        <f t="shared" si="24"/>
        <v>138</v>
      </c>
    </row>
    <row r="124" spans="15:40" x14ac:dyDescent="0.25">
      <c r="O124" s="180">
        <f t="shared" si="25"/>
        <v>45595</v>
      </c>
      <c r="P124" s="181">
        <f t="shared" si="18"/>
        <v>4</v>
      </c>
      <c r="Q124" s="26">
        <f t="shared" si="27"/>
        <v>1</v>
      </c>
      <c r="R124" s="26">
        <f t="shared" si="27"/>
        <v>1</v>
      </c>
      <c r="S124" s="26">
        <f t="shared" si="27"/>
        <v>1</v>
      </c>
      <c r="T124" s="26">
        <f t="shared" si="27"/>
        <v>1</v>
      </c>
      <c r="U124" s="26">
        <f t="shared" si="28"/>
        <v>1</v>
      </c>
      <c r="V124" s="180">
        <f t="shared" si="19"/>
        <v>45595</v>
      </c>
      <c r="W124" s="181">
        <f t="shared" si="17"/>
        <v>4</v>
      </c>
      <c r="AC124" t="s">
        <v>410</v>
      </c>
      <c r="AD124" s="180">
        <f t="shared" si="26"/>
        <v>45595</v>
      </c>
      <c r="AE124" s="177">
        <f t="shared" si="20"/>
        <v>145</v>
      </c>
      <c r="AF124" s="177">
        <f t="shared" si="21"/>
        <v>145</v>
      </c>
      <c r="AG124" s="177">
        <f t="shared" si="22"/>
        <v>137</v>
      </c>
      <c r="AH124" s="177">
        <f t="shared" si="23"/>
        <v>137</v>
      </c>
      <c r="AI124" s="177">
        <f t="shared" si="24"/>
        <v>137</v>
      </c>
    </row>
    <row r="125" spans="15:40" x14ac:dyDescent="0.25">
      <c r="O125" s="180">
        <f t="shared" si="25"/>
        <v>45596</v>
      </c>
      <c r="P125" s="181">
        <f t="shared" si="18"/>
        <v>5</v>
      </c>
      <c r="Q125" s="26">
        <f t="shared" si="27"/>
        <v>1</v>
      </c>
      <c r="R125" s="26">
        <f t="shared" si="27"/>
        <v>1</v>
      </c>
      <c r="S125" s="26">
        <f t="shared" si="27"/>
        <v>1</v>
      </c>
      <c r="T125" s="26">
        <f t="shared" si="27"/>
        <v>1</v>
      </c>
      <c r="U125" s="26">
        <f t="shared" si="28"/>
        <v>1</v>
      </c>
      <c r="V125" s="180">
        <f t="shared" si="19"/>
        <v>45596</v>
      </c>
      <c r="W125" s="181">
        <f t="shared" si="17"/>
        <v>5</v>
      </c>
      <c r="AC125" t="s">
        <v>13</v>
      </c>
      <c r="AD125" s="180">
        <f t="shared" si="26"/>
        <v>45596</v>
      </c>
      <c r="AE125" s="177">
        <f t="shared" si="20"/>
        <v>144</v>
      </c>
      <c r="AF125" s="177">
        <f t="shared" si="21"/>
        <v>144</v>
      </c>
      <c r="AG125" s="177">
        <f t="shared" si="22"/>
        <v>136</v>
      </c>
      <c r="AH125" s="177">
        <f t="shared" si="23"/>
        <v>136</v>
      </c>
      <c r="AI125" s="177">
        <f t="shared" si="24"/>
        <v>136</v>
      </c>
    </row>
    <row r="126" spans="15:40" x14ac:dyDescent="0.25">
      <c r="O126" s="180">
        <f t="shared" si="25"/>
        <v>45597</v>
      </c>
      <c r="P126" s="181">
        <f t="shared" si="18"/>
        <v>6</v>
      </c>
      <c r="Q126" s="26">
        <f t="shared" si="27"/>
        <v>1</v>
      </c>
      <c r="R126" s="26">
        <f t="shared" si="27"/>
        <v>1</v>
      </c>
      <c r="S126" s="26">
        <f t="shared" si="27"/>
        <v>1</v>
      </c>
      <c r="T126" s="26">
        <f t="shared" si="27"/>
        <v>1</v>
      </c>
      <c r="U126" s="26">
        <f t="shared" si="28"/>
        <v>1</v>
      </c>
      <c r="V126" s="180">
        <f t="shared" si="19"/>
        <v>45597</v>
      </c>
      <c r="W126" s="181">
        <f t="shared" si="17"/>
        <v>6</v>
      </c>
      <c r="AC126" t="s">
        <v>410</v>
      </c>
      <c r="AD126" s="180">
        <f t="shared" si="26"/>
        <v>45597</v>
      </c>
      <c r="AE126" s="177">
        <f t="shared" si="20"/>
        <v>143</v>
      </c>
      <c r="AF126" s="177">
        <f t="shared" si="21"/>
        <v>143</v>
      </c>
      <c r="AG126" s="177">
        <f t="shared" si="22"/>
        <v>135</v>
      </c>
      <c r="AH126" s="177">
        <f t="shared" si="23"/>
        <v>135</v>
      </c>
      <c r="AI126" s="177">
        <f t="shared" si="24"/>
        <v>135</v>
      </c>
    </row>
    <row r="127" spans="15:40" x14ac:dyDescent="0.25">
      <c r="O127" s="180">
        <f t="shared" si="25"/>
        <v>45598</v>
      </c>
      <c r="P127" s="181">
        <f t="shared" si="18"/>
        <v>7</v>
      </c>
      <c r="Q127" s="26" t="str">
        <f t="shared" si="27"/>
        <v/>
      </c>
      <c r="R127" s="26" t="str">
        <f t="shared" si="27"/>
        <v/>
      </c>
      <c r="S127" s="26" t="str">
        <f t="shared" si="27"/>
        <v/>
      </c>
      <c r="T127" s="26" t="str">
        <f t="shared" si="27"/>
        <v/>
      </c>
      <c r="U127" s="26" t="str">
        <f t="shared" si="28"/>
        <v/>
      </c>
      <c r="V127" s="180">
        <f t="shared" si="19"/>
        <v>45598</v>
      </c>
      <c r="W127" s="181">
        <f t="shared" si="17"/>
        <v>7</v>
      </c>
      <c r="AD127" s="180">
        <f t="shared" si="26"/>
        <v>45598</v>
      </c>
      <c r="AE127" s="177">
        <f t="shared" si="20"/>
        <v>143</v>
      </c>
      <c r="AF127" s="177">
        <f t="shared" si="21"/>
        <v>143</v>
      </c>
      <c r="AG127" s="177">
        <f t="shared" si="22"/>
        <v>135</v>
      </c>
      <c r="AH127" s="177">
        <f t="shared" si="23"/>
        <v>135</v>
      </c>
      <c r="AI127" s="177">
        <f t="shared" si="24"/>
        <v>135</v>
      </c>
    </row>
    <row r="128" spans="15:40" x14ac:dyDescent="0.25">
      <c r="O128" s="180">
        <f t="shared" si="25"/>
        <v>45599</v>
      </c>
      <c r="P128" s="181">
        <f t="shared" si="18"/>
        <v>1</v>
      </c>
      <c r="Q128" s="26" t="str">
        <f t="shared" si="27"/>
        <v/>
      </c>
      <c r="R128" s="26" t="str">
        <f t="shared" si="27"/>
        <v/>
      </c>
      <c r="S128" s="26" t="str">
        <f t="shared" si="27"/>
        <v/>
      </c>
      <c r="T128" s="26" t="str">
        <f t="shared" si="27"/>
        <v/>
      </c>
      <c r="U128" s="26" t="str">
        <f t="shared" si="28"/>
        <v/>
      </c>
      <c r="V128" s="180">
        <f t="shared" si="19"/>
        <v>45599</v>
      </c>
      <c r="W128" s="181">
        <f t="shared" si="17"/>
        <v>1</v>
      </c>
      <c r="AD128" s="180">
        <f t="shared" si="26"/>
        <v>45599</v>
      </c>
      <c r="AE128" s="177">
        <f t="shared" si="20"/>
        <v>143</v>
      </c>
      <c r="AF128" s="177">
        <f t="shared" si="21"/>
        <v>143</v>
      </c>
      <c r="AG128" s="177">
        <f t="shared" si="22"/>
        <v>135</v>
      </c>
      <c r="AH128" s="177">
        <f t="shared" si="23"/>
        <v>135</v>
      </c>
      <c r="AI128" s="177">
        <f t="shared" si="24"/>
        <v>135</v>
      </c>
    </row>
    <row r="129" spans="15:35" x14ac:dyDescent="0.25">
      <c r="O129" s="180">
        <f t="shared" si="25"/>
        <v>45600</v>
      </c>
      <c r="P129" s="181">
        <f t="shared" si="18"/>
        <v>2</v>
      </c>
      <c r="Q129" s="26">
        <f t="shared" si="27"/>
        <v>1</v>
      </c>
      <c r="R129" s="26">
        <f t="shared" si="27"/>
        <v>1</v>
      </c>
      <c r="S129" s="26">
        <f t="shared" si="27"/>
        <v>1</v>
      </c>
      <c r="T129" s="26">
        <f t="shared" si="27"/>
        <v>1</v>
      </c>
      <c r="U129" s="26">
        <f t="shared" si="28"/>
        <v>1</v>
      </c>
      <c r="V129" s="180">
        <f t="shared" si="19"/>
        <v>45600</v>
      </c>
      <c r="W129" s="181">
        <f t="shared" si="17"/>
        <v>2</v>
      </c>
      <c r="AC129" t="s">
        <v>13</v>
      </c>
      <c r="AD129" s="180">
        <f t="shared" si="26"/>
        <v>45600</v>
      </c>
      <c r="AE129" s="177">
        <f t="shared" si="20"/>
        <v>142</v>
      </c>
      <c r="AF129" s="177">
        <f t="shared" si="21"/>
        <v>142</v>
      </c>
      <c r="AG129" s="177">
        <f t="shared" si="22"/>
        <v>134</v>
      </c>
      <c r="AH129" s="177">
        <f t="shared" si="23"/>
        <v>134</v>
      </c>
      <c r="AI129" s="177">
        <f t="shared" si="24"/>
        <v>134</v>
      </c>
    </row>
    <row r="130" spans="15:35" x14ac:dyDescent="0.25">
      <c r="O130" s="180">
        <f t="shared" si="25"/>
        <v>45601</v>
      </c>
      <c r="P130" s="181">
        <f t="shared" si="18"/>
        <v>3</v>
      </c>
      <c r="Q130" s="26">
        <f t="shared" si="27"/>
        <v>1</v>
      </c>
      <c r="R130" s="26">
        <f t="shared" si="27"/>
        <v>1</v>
      </c>
      <c r="S130" s="26">
        <f t="shared" si="27"/>
        <v>1</v>
      </c>
      <c r="T130" s="26">
        <f t="shared" si="27"/>
        <v>1</v>
      </c>
      <c r="U130" s="26">
        <f t="shared" si="28"/>
        <v>1</v>
      </c>
      <c r="V130" s="180">
        <f t="shared" si="19"/>
        <v>45601</v>
      </c>
      <c r="W130" s="181">
        <f t="shared" si="17"/>
        <v>3</v>
      </c>
      <c r="AC130" t="s">
        <v>411</v>
      </c>
      <c r="AD130" s="180">
        <f t="shared" si="26"/>
        <v>45601</v>
      </c>
      <c r="AE130" s="177">
        <f t="shared" si="20"/>
        <v>141</v>
      </c>
      <c r="AF130" s="177">
        <f t="shared" si="21"/>
        <v>141</v>
      </c>
      <c r="AG130" s="177">
        <f t="shared" si="22"/>
        <v>133</v>
      </c>
      <c r="AH130" s="177">
        <f t="shared" si="23"/>
        <v>133</v>
      </c>
      <c r="AI130" s="177">
        <f t="shared" si="24"/>
        <v>133</v>
      </c>
    </row>
    <row r="131" spans="15:35" x14ac:dyDescent="0.25">
      <c r="O131" s="180">
        <f t="shared" si="25"/>
        <v>45602</v>
      </c>
      <c r="P131" s="181">
        <f t="shared" si="18"/>
        <v>4</v>
      </c>
      <c r="Q131" s="26">
        <f t="shared" si="27"/>
        <v>1</v>
      </c>
      <c r="R131" s="26">
        <f t="shared" si="27"/>
        <v>1</v>
      </c>
      <c r="S131" s="26">
        <f t="shared" si="27"/>
        <v>1</v>
      </c>
      <c r="T131" s="26">
        <f t="shared" si="27"/>
        <v>1</v>
      </c>
      <c r="U131" s="26">
        <f t="shared" si="28"/>
        <v>1</v>
      </c>
      <c r="V131" s="180">
        <f t="shared" si="19"/>
        <v>45602</v>
      </c>
      <c r="W131" s="181">
        <f t="shared" ref="W131:W194" si="30">WEEKDAY(V131)</f>
        <v>4</v>
      </c>
      <c r="AC131" t="s">
        <v>410</v>
      </c>
      <c r="AD131" s="180">
        <f t="shared" si="26"/>
        <v>45602</v>
      </c>
      <c r="AE131" s="177">
        <f t="shared" si="20"/>
        <v>140</v>
      </c>
      <c r="AF131" s="177">
        <f t="shared" si="21"/>
        <v>140</v>
      </c>
      <c r="AG131" s="177">
        <f t="shared" si="22"/>
        <v>132</v>
      </c>
      <c r="AH131" s="177">
        <f t="shared" si="23"/>
        <v>132</v>
      </c>
      <c r="AI131" s="177">
        <f t="shared" si="24"/>
        <v>132</v>
      </c>
    </row>
    <row r="132" spans="15:35" x14ac:dyDescent="0.25">
      <c r="O132" s="180">
        <f t="shared" si="25"/>
        <v>45603</v>
      </c>
      <c r="P132" s="181">
        <f t="shared" ref="P132:P195" si="31">WEEKDAY(O132)</f>
        <v>5</v>
      </c>
      <c r="Q132" s="26">
        <f t="shared" si="27"/>
        <v>1</v>
      </c>
      <c r="R132" s="26">
        <f t="shared" si="27"/>
        <v>1</v>
      </c>
      <c r="S132" s="26">
        <f t="shared" si="27"/>
        <v>1</v>
      </c>
      <c r="T132" s="26">
        <f t="shared" si="27"/>
        <v>1</v>
      </c>
      <c r="U132" s="26">
        <f t="shared" si="28"/>
        <v>1</v>
      </c>
      <c r="V132" s="180">
        <f t="shared" ref="V132:V195" si="32">V131+1</f>
        <v>45603</v>
      </c>
      <c r="W132" s="181">
        <f t="shared" si="30"/>
        <v>5</v>
      </c>
      <c r="AC132" t="s">
        <v>13</v>
      </c>
      <c r="AD132" s="180">
        <f t="shared" si="26"/>
        <v>45603</v>
      </c>
      <c r="AE132" s="177">
        <f t="shared" si="20"/>
        <v>139</v>
      </c>
      <c r="AF132" s="177">
        <f t="shared" si="21"/>
        <v>139</v>
      </c>
      <c r="AG132" s="177">
        <f t="shared" si="22"/>
        <v>131</v>
      </c>
      <c r="AH132" s="177">
        <f t="shared" si="23"/>
        <v>131</v>
      </c>
      <c r="AI132" s="177">
        <f t="shared" si="24"/>
        <v>131</v>
      </c>
    </row>
    <row r="133" spans="15:35" x14ac:dyDescent="0.25">
      <c r="O133" s="180">
        <f t="shared" si="25"/>
        <v>45604</v>
      </c>
      <c r="P133" s="181">
        <f t="shared" si="31"/>
        <v>6</v>
      </c>
      <c r="Q133" s="26">
        <f t="shared" si="27"/>
        <v>1</v>
      </c>
      <c r="R133" s="26">
        <f t="shared" si="27"/>
        <v>1</v>
      </c>
      <c r="S133" s="26">
        <f t="shared" si="27"/>
        <v>1</v>
      </c>
      <c r="T133" s="26">
        <f t="shared" si="27"/>
        <v>1</v>
      </c>
      <c r="U133" s="26">
        <f t="shared" si="28"/>
        <v>1</v>
      </c>
      <c r="V133" s="180">
        <f t="shared" si="32"/>
        <v>45604</v>
      </c>
      <c r="W133" s="181">
        <f t="shared" si="30"/>
        <v>6</v>
      </c>
      <c r="X133" t="s">
        <v>88</v>
      </c>
      <c r="Y133" t="s">
        <v>88</v>
      </c>
      <c r="Z133" t="s">
        <v>88</v>
      </c>
      <c r="AA133" t="s">
        <v>88</v>
      </c>
      <c r="AB133" t="s">
        <v>88</v>
      </c>
      <c r="AD133" s="180">
        <f t="shared" si="26"/>
        <v>45604</v>
      </c>
      <c r="AE133" s="177">
        <f t="shared" ref="AE133:AE196" si="33">AE132-(IF(Q133=1,1,0))</f>
        <v>138</v>
      </c>
      <c r="AF133" s="177">
        <f t="shared" ref="AF133:AF196" si="34">AF132-(IF(R133=1,1,0))</f>
        <v>138</v>
      </c>
      <c r="AG133" s="177">
        <f t="shared" ref="AG133:AG196" si="35">AG132-(IF(S133=1,1,0))</f>
        <v>130</v>
      </c>
      <c r="AH133" s="177">
        <f t="shared" ref="AH133:AH196" si="36">AH132-(IF(T133=1,1,0))</f>
        <v>130</v>
      </c>
      <c r="AI133" s="177">
        <f t="shared" ref="AI133:AI196" si="37">AI132-(IF(U133=1,1,0))</f>
        <v>130</v>
      </c>
    </row>
    <row r="134" spans="15:35" x14ac:dyDescent="0.25">
      <c r="O134" s="180">
        <f t="shared" ref="O134:O197" si="38">O133+1</f>
        <v>45605</v>
      </c>
      <c r="P134" s="181">
        <f t="shared" si="31"/>
        <v>7</v>
      </c>
      <c r="Q134" s="26" t="str">
        <f t="shared" si="27"/>
        <v/>
      </c>
      <c r="R134" s="26" t="str">
        <f t="shared" si="27"/>
        <v/>
      </c>
      <c r="S134" s="26" t="str">
        <f t="shared" si="27"/>
        <v/>
      </c>
      <c r="T134" s="26" t="str">
        <f t="shared" si="27"/>
        <v/>
      </c>
      <c r="U134" s="26" t="str">
        <f t="shared" si="28"/>
        <v/>
      </c>
      <c r="V134" s="180">
        <f t="shared" si="32"/>
        <v>45605</v>
      </c>
      <c r="W134" s="181">
        <f t="shared" si="30"/>
        <v>7</v>
      </c>
      <c r="AD134" s="180">
        <f t="shared" ref="AD134:AD197" si="39">AD133+1</f>
        <v>45605</v>
      </c>
      <c r="AE134" s="177">
        <f t="shared" si="33"/>
        <v>138</v>
      </c>
      <c r="AF134" s="177">
        <f t="shared" si="34"/>
        <v>138</v>
      </c>
      <c r="AG134" s="177">
        <f t="shared" si="35"/>
        <v>130</v>
      </c>
      <c r="AH134" s="177">
        <f t="shared" si="36"/>
        <v>130</v>
      </c>
      <c r="AI134" s="177">
        <f t="shared" si="37"/>
        <v>130</v>
      </c>
    </row>
    <row r="135" spans="15:35" x14ac:dyDescent="0.25">
      <c r="O135" s="180">
        <f t="shared" si="38"/>
        <v>45606</v>
      </c>
      <c r="P135" s="181">
        <f t="shared" si="31"/>
        <v>1</v>
      </c>
      <c r="Q135" s="26" t="str">
        <f t="shared" si="27"/>
        <v/>
      </c>
      <c r="R135" s="26" t="str">
        <f t="shared" si="27"/>
        <v/>
      </c>
      <c r="S135" s="26" t="str">
        <f t="shared" si="27"/>
        <v/>
      </c>
      <c r="T135" s="26" t="str">
        <f t="shared" si="27"/>
        <v/>
      </c>
      <c r="U135" s="26" t="str">
        <f t="shared" si="28"/>
        <v/>
      </c>
      <c r="V135" s="180">
        <f t="shared" si="32"/>
        <v>45606</v>
      </c>
      <c r="W135" s="181">
        <f t="shared" si="30"/>
        <v>1</v>
      </c>
      <c r="AD135" s="180">
        <f t="shared" si="39"/>
        <v>45606</v>
      </c>
      <c r="AE135" s="177">
        <f t="shared" si="33"/>
        <v>138</v>
      </c>
      <c r="AF135" s="177">
        <f t="shared" si="34"/>
        <v>138</v>
      </c>
      <c r="AG135" s="177">
        <f t="shared" si="35"/>
        <v>130</v>
      </c>
      <c r="AH135" s="177">
        <f t="shared" si="36"/>
        <v>130</v>
      </c>
      <c r="AI135" s="177">
        <f t="shared" si="37"/>
        <v>130</v>
      </c>
    </row>
    <row r="136" spans="15:35" x14ac:dyDescent="0.25">
      <c r="O136" s="180">
        <f t="shared" si="38"/>
        <v>45607</v>
      </c>
      <c r="P136" s="181">
        <f t="shared" si="31"/>
        <v>2</v>
      </c>
      <c r="Q136" s="26">
        <f t="shared" si="27"/>
        <v>1</v>
      </c>
      <c r="R136" s="26">
        <f t="shared" si="27"/>
        <v>1</v>
      </c>
      <c r="S136" s="26">
        <f t="shared" si="27"/>
        <v>1</v>
      </c>
      <c r="T136" s="26">
        <f t="shared" si="27"/>
        <v>1</v>
      </c>
      <c r="U136" s="26">
        <f t="shared" si="28"/>
        <v>1</v>
      </c>
      <c r="V136" s="180">
        <f t="shared" si="32"/>
        <v>45607</v>
      </c>
      <c r="W136" s="181">
        <f t="shared" si="30"/>
        <v>2</v>
      </c>
      <c r="AC136" t="s">
        <v>410</v>
      </c>
      <c r="AD136" s="180">
        <f t="shared" si="39"/>
        <v>45607</v>
      </c>
      <c r="AE136" s="177">
        <f t="shared" si="33"/>
        <v>137</v>
      </c>
      <c r="AF136" s="177">
        <f t="shared" si="34"/>
        <v>137</v>
      </c>
      <c r="AG136" s="177">
        <f t="shared" si="35"/>
        <v>129</v>
      </c>
      <c r="AH136" s="177">
        <f t="shared" si="36"/>
        <v>129</v>
      </c>
      <c r="AI136" s="177">
        <f t="shared" si="37"/>
        <v>129</v>
      </c>
    </row>
    <row r="137" spans="15:35" x14ac:dyDescent="0.25">
      <c r="O137" s="180">
        <f t="shared" si="38"/>
        <v>45608</v>
      </c>
      <c r="P137" s="181">
        <f t="shared" si="31"/>
        <v>3</v>
      </c>
      <c r="Q137" s="26">
        <f t="shared" si="27"/>
        <v>1</v>
      </c>
      <c r="R137" s="26">
        <f t="shared" si="27"/>
        <v>1</v>
      </c>
      <c r="S137" s="26">
        <f t="shared" si="27"/>
        <v>1</v>
      </c>
      <c r="T137" s="26">
        <f t="shared" si="27"/>
        <v>1</v>
      </c>
      <c r="U137" s="26">
        <f t="shared" si="28"/>
        <v>1</v>
      </c>
      <c r="V137" s="180">
        <f t="shared" si="32"/>
        <v>45608</v>
      </c>
      <c r="W137" s="181">
        <f t="shared" si="30"/>
        <v>3</v>
      </c>
      <c r="AC137" t="s">
        <v>13</v>
      </c>
      <c r="AD137" s="180">
        <f t="shared" si="39"/>
        <v>45608</v>
      </c>
      <c r="AE137" s="177">
        <f t="shared" si="33"/>
        <v>136</v>
      </c>
      <c r="AF137" s="177">
        <f t="shared" si="34"/>
        <v>136</v>
      </c>
      <c r="AG137" s="177">
        <f t="shared" si="35"/>
        <v>128</v>
      </c>
      <c r="AH137" s="177">
        <f t="shared" si="36"/>
        <v>128</v>
      </c>
      <c r="AI137" s="177">
        <f t="shared" si="37"/>
        <v>128</v>
      </c>
    </row>
    <row r="138" spans="15:35" x14ac:dyDescent="0.25">
      <c r="O138" s="180">
        <f t="shared" si="38"/>
        <v>45609</v>
      </c>
      <c r="P138" s="181">
        <f t="shared" si="31"/>
        <v>4</v>
      </c>
      <c r="Q138" s="26">
        <f t="shared" si="27"/>
        <v>1</v>
      </c>
      <c r="R138" s="26">
        <f t="shared" si="27"/>
        <v>1</v>
      </c>
      <c r="S138" s="26">
        <f t="shared" si="27"/>
        <v>1</v>
      </c>
      <c r="T138" s="26">
        <f t="shared" si="27"/>
        <v>1</v>
      </c>
      <c r="U138" s="26">
        <f t="shared" si="28"/>
        <v>1</v>
      </c>
      <c r="V138" s="180">
        <f t="shared" si="32"/>
        <v>45609</v>
      </c>
      <c r="W138" s="181">
        <f t="shared" si="30"/>
        <v>4</v>
      </c>
      <c r="AC138" t="s">
        <v>410</v>
      </c>
      <c r="AD138" s="180">
        <f t="shared" si="39"/>
        <v>45609</v>
      </c>
      <c r="AE138" s="177">
        <f t="shared" si="33"/>
        <v>135</v>
      </c>
      <c r="AF138" s="177">
        <f t="shared" si="34"/>
        <v>135</v>
      </c>
      <c r="AG138" s="177">
        <f t="shared" si="35"/>
        <v>127</v>
      </c>
      <c r="AH138" s="177">
        <f t="shared" si="36"/>
        <v>127</v>
      </c>
      <c r="AI138" s="177">
        <f t="shared" si="37"/>
        <v>127</v>
      </c>
    </row>
    <row r="139" spans="15:35" x14ac:dyDescent="0.25">
      <c r="O139" s="180">
        <f t="shared" si="38"/>
        <v>45610</v>
      </c>
      <c r="P139" s="181">
        <f t="shared" si="31"/>
        <v>5</v>
      </c>
      <c r="Q139" s="26">
        <f t="shared" si="27"/>
        <v>1</v>
      </c>
      <c r="R139" s="26">
        <f t="shared" si="27"/>
        <v>1</v>
      </c>
      <c r="S139" s="26">
        <f t="shared" si="27"/>
        <v>1</v>
      </c>
      <c r="T139" s="26">
        <f t="shared" si="27"/>
        <v>1</v>
      </c>
      <c r="U139" s="26">
        <f t="shared" si="28"/>
        <v>1</v>
      </c>
      <c r="V139" s="180">
        <f t="shared" si="32"/>
        <v>45610</v>
      </c>
      <c r="W139" s="181">
        <f t="shared" si="30"/>
        <v>5</v>
      </c>
      <c r="AC139" t="s">
        <v>13</v>
      </c>
      <c r="AD139" s="180">
        <f t="shared" si="39"/>
        <v>45610</v>
      </c>
      <c r="AE139" s="177">
        <f t="shared" si="33"/>
        <v>134</v>
      </c>
      <c r="AF139" s="177">
        <f t="shared" si="34"/>
        <v>134</v>
      </c>
      <c r="AG139" s="177">
        <f t="shared" si="35"/>
        <v>126</v>
      </c>
      <c r="AH139" s="177">
        <f t="shared" si="36"/>
        <v>126</v>
      </c>
      <c r="AI139" s="177">
        <f t="shared" si="37"/>
        <v>126</v>
      </c>
    </row>
    <row r="140" spans="15:35" x14ac:dyDescent="0.25">
      <c r="O140" s="180">
        <f t="shared" si="38"/>
        <v>45611</v>
      </c>
      <c r="P140" s="181">
        <f t="shared" si="31"/>
        <v>6</v>
      </c>
      <c r="Q140" s="26">
        <f t="shared" si="27"/>
        <v>1</v>
      </c>
      <c r="R140" s="26">
        <f t="shared" si="27"/>
        <v>1</v>
      </c>
      <c r="S140" s="26">
        <f t="shared" si="27"/>
        <v>1</v>
      </c>
      <c r="T140" s="26">
        <f t="shared" si="27"/>
        <v>1</v>
      </c>
      <c r="U140" s="26">
        <f t="shared" si="28"/>
        <v>1</v>
      </c>
      <c r="V140" s="180">
        <f t="shared" si="32"/>
        <v>45611</v>
      </c>
      <c r="W140" s="181">
        <f t="shared" si="30"/>
        <v>6</v>
      </c>
      <c r="AC140" t="s">
        <v>410</v>
      </c>
      <c r="AD140" s="180">
        <f t="shared" si="39"/>
        <v>45611</v>
      </c>
      <c r="AE140" s="177">
        <f t="shared" si="33"/>
        <v>133</v>
      </c>
      <c r="AF140" s="177">
        <f t="shared" si="34"/>
        <v>133</v>
      </c>
      <c r="AG140" s="177">
        <f t="shared" si="35"/>
        <v>125</v>
      </c>
      <c r="AH140" s="177">
        <f t="shared" si="36"/>
        <v>125</v>
      </c>
      <c r="AI140" s="177">
        <f t="shared" si="37"/>
        <v>125</v>
      </c>
    </row>
    <row r="141" spans="15:35" x14ac:dyDescent="0.25">
      <c r="O141" s="180">
        <f t="shared" si="38"/>
        <v>45612</v>
      </c>
      <c r="P141" s="181">
        <f t="shared" si="31"/>
        <v>7</v>
      </c>
      <c r="Q141" s="26" t="str">
        <f t="shared" si="27"/>
        <v/>
      </c>
      <c r="R141" s="26" t="str">
        <f t="shared" si="27"/>
        <v/>
      </c>
      <c r="S141" s="26" t="str">
        <f t="shared" si="27"/>
        <v/>
      </c>
      <c r="T141" s="26" t="str">
        <f t="shared" si="27"/>
        <v/>
      </c>
      <c r="U141" s="26" t="str">
        <f t="shared" si="28"/>
        <v/>
      </c>
      <c r="V141" s="180">
        <f t="shared" si="32"/>
        <v>45612</v>
      </c>
      <c r="W141" s="181">
        <f t="shared" si="30"/>
        <v>7</v>
      </c>
      <c r="AD141" s="180">
        <f t="shared" si="39"/>
        <v>45612</v>
      </c>
      <c r="AE141" s="177">
        <f t="shared" si="33"/>
        <v>133</v>
      </c>
      <c r="AF141" s="177">
        <f t="shared" si="34"/>
        <v>133</v>
      </c>
      <c r="AG141" s="177">
        <f t="shared" si="35"/>
        <v>125</v>
      </c>
      <c r="AH141" s="177">
        <f t="shared" si="36"/>
        <v>125</v>
      </c>
      <c r="AI141" s="177">
        <f t="shared" si="37"/>
        <v>125</v>
      </c>
    </row>
    <row r="142" spans="15:35" x14ac:dyDescent="0.25">
      <c r="O142" s="180">
        <f t="shared" si="38"/>
        <v>45613</v>
      </c>
      <c r="P142" s="181">
        <f t="shared" si="31"/>
        <v>1</v>
      </c>
      <c r="Q142" s="26" t="str">
        <f t="shared" si="27"/>
        <v/>
      </c>
      <c r="R142" s="26" t="str">
        <f t="shared" si="27"/>
        <v/>
      </c>
      <c r="S142" s="26" t="str">
        <f t="shared" si="27"/>
        <v/>
      </c>
      <c r="T142" s="26" t="str">
        <f t="shared" si="27"/>
        <v/>
      </c>
      <c r="U142" s="26" t="str">
        <f t="shared" si="28"/>
        <v/>
      </c>
      <c r="V142" s="180">
        <f t="shared" si="32"/>
        <v>45613</v>
      </c>
      <c r="W142" s="181">
        <f t="shared" si="30"/>
        <v>1</v>
      </c>
      <c r="AD142" s="180">
        <f t="shared" si="39"/>
        <v>45613</v>
      </c>
      <c r="AE142" s="177">
        <f t="shared" si="33"/>
        <v>133</v>
      </c>
      <c r="AF142" s="177">
        <f t="shared" si="34"/>
        <v>133</v>
      </c>
      <c r="AG142" s="177">
        <f t="shared" si="35"/>
        <v>125</v>
      </c>
      <c r="AH142" s="177">
        <f t="shared" si="36"/>
        <v>125</v>
      </c>
      <c r="AI142" s="177">
        <f t="shared" si="37"/>
        <v>125</v>
      </c>
    </row>
    <row r="143" spans="15:35" x14ac:dyDescent="0.25">
      <c r="O143" s="180">
        <f t="shared" si="38"/>
        <v>45614</v>
      </c>
      <c r="P143" s="181">
        <f t="shared" si="31"/>
        <v>2</v>
      </c>
      <c r="Q143" s="26">
        <f t="shared" si="27"/>
        <v>1</v>
      </c>
      <c r="R143" s="26">
        <f t="shared" si="27"/>
        <v>1</v>
      </c>
      <c r="S143" s="26">
        <f t="shared" si="27"/>
        <v>1</v>
      </c>
      <c r="T143" s="26">
        <f t="shared" si="27"/>
        <v>1</v>
      </c>
      <c r="U143" s="26">
        <f t="shared" si="28"/>
        <v>1</v>
      </c>
      <c r="V143" s="180">
        <f t="shared" si="32"/>
        <v>45614</v>
      </c>
      <c r="W143" s="181">
        <f t="shared" si="30"/>
        <v>2</v>
      </c>
      <c r="AC143" t="s">
        <v>13</v>
      </c>
      <c r="AD143" s="180">
        <f t="shared" si="39"/>
        <v>45614</v>
      </c>
      <c r="AE143" s="177">
        <f t="shared" si="33"/>
        <v>132</v>
      </c>
      <c r="AF143" s="177">
        <f t="shared" si="34"/>
        <v>132</v>
      </c>
      <c r="AG143" s="177">
        <f t="shared" si="35"/>
        <v>124</v>
      </c>
      <c r="AH143" s="177">
        <f t="shared" si="36"/>
        <v>124</v>
      </c>
      <c r="AI143" s="177">
        <f t="shared" si="37"/>
        <v>124</v>
      </c>
    </row>
    <row r="144" spans="15:35" x14ac:dyDescent="0.25">
      <c r="O144" s="180">
        <f t="shared" si="38"/>
        <v>45615</v>
      </c>
      <c r="P144" s="181">
        <f t="shared" si="31"/>
        <v>3</v>
      </c>
      <c r="Q144" s="26">
        <f t="shared" si="27"/>
        <v>1</v>
      </c>
      <c r="R144" s="26">
        <f t="shared" si="27"/>
        <v>1</v>
      </c>
      <c r="S144" s="26">
        <f t="shared" si="27"/>
        <v>1</v>
      </c>
      <c r="T144" s="26">
        <f t="shared" si="27"/>
        <v>1</v>
      </c>
      <c r="U144" s="26">
        <f t="shared" si="28"/>
        <v>1</v>
      </c>
      <c r="V144" s="180">
        <f t="shared" si="32"/>
        <v>45615</v>
      </c>
      <c r="W144" s="181">
        <f t="shared" si="30"/>
        <v>3</v>
      </c>
      <c r="AC144" t="s">
        <v>410</v>
      </c>
      <c r="AD144" s="180">
        <f t="shared" si="39"/>
        <v>45615</v>
      </c>
      <c r="AE144" s="177">
        <f t="shared" si="33"/>
        <v>131</v>
      </c>
      <c r="AF144" s="177">
        <f t="shared" si="34"/>
        <v>131</v>
      </c>
      <c r="AG144" s="177">
        <f t="shared" si="35"/>
        <v>123</v>
      </c>
      <c r="AH144" s="177">
        <f t="shared" si="36"/>
        <v>123</v>
      </c>
      <c r="AI144" s="177">
        <f t="shared" si="37"/>
        <v>123</v>
      </c>
    </row>
    <row r="145" spans="15:35" x14ac:dyDescent="0.25">
      <c r="O145" s="180">
        <f t="shared" si="38"/>
        <v>45616</v>
      </c>
      <c r="P145" s="181">
        <f t="shared" si="31"/>
        <v>4</v>
      </c>
      <c r="Q145" s="26">
        <f t="shared" si="27"/>
        <v>1</v>
      </c>
      <c r="R145" s="26">
        <f t="shared" ref="R145:U146" si="40">IF(OR($P145=2,$P145=3,$P145=4,$P145=5,$P145=6),1,"")</f>
        <v>1</v>
      </c>
      <c r="S145" s="26">
        <f t="shared" si="40"/>
        <v>1</v>
      </c>
      <c r="T145" s="26">
        <f t="shared" si="40"/>
        <v>1</v>
      </c>
      <c r="U145" s="26">
        <f t="shared" si="40"/>
        <v>1</v>
      </c>
      <c r="V145" s="180">
        <f t="shared" si="32"/>
        <v>45616</v>
      </c>
      <c r="W145" s="181">
        <f t="shared" si="30"/>
        <v>4</v>
      </c>
      <c r="AC145" t="s">
        <v>13</v>
      </c>
      <c r="AD145" s="180">
        <f t="shared" si="39"/>
        <v>45616</v>
      </c>
      <c r="AE145" s="177">
        <f t="shared" si="33"/>
        <v>130</v>
      </c>
      <c r="AF145" s="177">
        <f t="shared" si="34"/>
        <v>130</v>
      </c>
      <c r="AG145" s="177">
        <f t="shared" si="35"/>
        <v>122</v>
      </c>
      <c r="AH145" s="177">
        <f t="shared" si="36"/>
        <v>122</v>
      </c>
      <c r="AI145" s="177">
        <f t="shared" si="37"/>
        <v>122</v>
      </c>
    </row>
    <row r="146" spans="15:35" x14ac:dyDescent="0.25">
      <c r="O146" s="180">
        <f t="shared" si="38"/>
        <v>45617</v>
      </c>
      <c r="P146" s="181">
        <f t="shared" si="31"/>
        <v>5</v>
      </c>
      <c r="Q146" s="26">
        <f t="shared" si="27"/>
        <v>1</v>
      </c>
      <c r="R146" s="26">
        <f t="shared" si="40"/>
        <v>1</v>
      </c>
      <c r="S146" s="26">
        <f t="shared" si="40"/>
        <v>1</v>
      </c>
      <c r="T146" s="26">
        <f t="shared" si="40"/>
        <v>1</v>
      </c>
      <c r="U146" s="26">
        <f t="shared" si="40"/>
        <v>1</v>
      </c>
      <c r="V146" s="180">
        <f t="shared" si="32"/>
        <v>45617</v>
      </c>
      <c r="W146" s="181">
        <f t="shared" si="30"/>
        <v>5</v>
      </c>
      <c r="AC146" t="s">
        <v>410</v>
      </c>
      <c r="AD146" s="180">
        <f t="shared" si="39"/>
        <v>45617</v>
      </c>
      <c r="AE146" s="177">
        <f t="shared" si="33"/>
        <v>129</v>
      </c>
      <c r="AF146" s="177">
        <f t="shared" si="34"/>
        <v>129</v>
      </c>
      <c r="AG146" s="177">
        <f t="shared" si="35"/>
        <v>121</v>
      </c>
      <c r="AH146" s="177">
        <f t="shared" si="36"/>
        <v>121</v>
      </c>
      <c r="AI146" s="177">
        <f t="shared" si="37"/>
        <v>121</v>
      </c>
    </row>
    <row r="147" spans="15:35" x14ac:dyDescent="0.25">
      <c r="O147" s="180">
        <f t="shared" si="38"/>
        <v>45618</v>
      </c>
      <c r="P147" s="181">
        <f t="shared" si="31"/>
        <v>6</v>
      </c>
      <c r="Q147" s="26">
        <v>1</v>
      </c>
      <c r="R147" s="26">
        <v>1</v>
      </c>
      <c r="S147" s="26">
        <v>1</v>
      </c>
      <c r="T147" s="26">
        <v>1</v>
      </c>
      <c r="U147" s="26">
        <v>1</v>
      </c>
      <c r="V147" s="180">
        <f t="shared" si="32"/>
        <v>45618</v>
      </c>
      <c r="W147" s="181">
        <f t="shared" si="30"/>
        <v>6</v>
      </c>
      <c r="AC147" t="s">
        <v>13</v>
      </c>
      <c r="AD147" s="180">
        <f t="shared" si="39"/>
        <v>45618</v>
      </c>
      <c r="AE147" s="177">
        <f t="shared" si="33"/>
        <v>128</v>
      </c>
      <c r="AF147" s="177">
        <f t="shared" si="34"/>
        <v>128</v>
      </c>
      <c r="AG147" s="177">
        <f t="shared" si="35"/>
        <v>120</v>
      </c>
      <c r="AH147" s="177">
        <f t="shared" si="36"/>
        <v>120</v>
      </c>
      <c r="AI147" s="177">
        <f t="shared" si="37"/>
        <v>120</v>
      </c>
    </row>
    <row r="148" spans="15:35" x14ac:dyDescent="0.25">
      <c r="O148" s="180">
        <f t="shared" si="38"/>
        <v>45619</v>
      </c>
      <c r="P148" s="181">
        <f t="shared" si="31"/>
        <v>7</v>
      </c>
      <c r="R148" s="26"/>
      <c r="S148" s="26"/>
      <c r="T148" s="26"/>
      <c r="U148" s="26"/>
      <c r="V148" s="180">
        <f t="shared" si="32"/>
        <v>45619</v>
      </c>
      <c r="W148" s="181">
        <f t="shared" si="30"/>
        <v>7</v>
      </c>
      <c r="AD148" s="180">
        <f t="shared" si="39"/>
        <v>45619</v>
      </c>
      <c r="AE148" s="177">
        <f t="shared" si="33"/>
        <v>128</v>
      </c>
      <c r="AF148" s="177">
        <f t="shared" si="34"/>
        <v>128</v>
      </c>
      <c r="AG148" s="177">
        <f t="shared" si="35"/>
        <v>120</v>
      </c>
      <c r="AH148" s="177">
        <f t="shared" si="36"/>
        <v>120</v>
      </c>
      <c r="AI148" s="177">
        <f t="shared" si="37"/>
        <v>120</v>
      </c>
    </row>
    <row r="149" spans="15:35" x14ac:dyDescent="0.25">
      <c r="O149" s="180">
        <f t="shared" si="38"/>
        <v>45620</v>
      </c>
      <c r="P149" s="181">
        <f t="shared" si="31"/>
        <v>1</v>
      </c>
      <c r="R149" s="26"/>
      <c r="S149" s="26"/>
      <c r="T149" s="26"/>
      <c r="U149" s="26"/>
      <c r="V149" s="180">
        <f t="shared" si="32"/>
        <v>45620</v>
      </c>
      <c r="W149" s="181">
        <f t="shared" si="30"/>
        <v>1</v>
      </c>
      <c r="AD149" s="180">
        <f t="shared" si="39"/>
        <v>45620</v>
      </c>
      <c r="AE149" s="177">
        <f t="shared" si="33"/>
        <v>128</v>
      </c>
      <c r="AF149" s="177">
        <f t="shared" si="34"/>
        <v>128</v>
      </c>
      <c r="AG149" s="177">
        <f t="shared" si="35"/>
        <v>120</v>
      </c>
      <c r="AH149" s="177">
        <f t="shared" si="36"/>
        <v>120</v>
      </c>
      <c r="AI149" s="177">
        <f t="shared" si="37"/>
        <v>120</v>
      </c>
    </row>
    <row r="150" spans="15:35" x14ac:dyDescent="0.25">
      <c r="O150" s="180">
        <f t="shared" si="38"/>
        <v>45621</v>
      </c>
      <c r="P150" s="181">
        <f t="shared" si="31"/>
        <v>2</v>
      </c>
      <c r="Q150" s="26">
        <f t="shared" ref="Q150:U150" si="41">IF(OR($P150=2,$P150=3,$P150=4,$P150=5,$P150=6),1,"")</f>
        <v>1</v>
      </c>
      <c r="R150" s="26">
        <f t="shared" si="41"/>
        <v>1</v>
      </c>
      <c r="S150" s="26">
        <f t="shared" si="41"/>
        <v>1</v>
      </c>
      <c r="T150" s="26">
        <f t="shared" si="41"/>
        <v>1</v>
      </c>
      <c r="U150" s="26">
        <f t="shared" si="41"/>
        <v>1</v>
      </c>
      <c r="V150" s="180">
        <f t="shared" si="32"/>
        <v>45621</v>
      </c>
      <c r="W150" s="181">
        <f t="shared" si="30"/>
        <v>2</v>
      </c>
      <c r="AC150" t="s">
        <v>410</v>
      </c>
      <c r="AD150" s="180">
        <f t="shared" si="39"/>
        <v>45621</v>
      </c>
      <c r="AE150" s="177">
        <f t="shared" si="33"/>
        <v>127</v>
      </c>
      <c r="AF150" s="177">
        <f t="shared" si="34"/>
        <v>127</v>
      </c>
      <c r="AG150" s="177">
        <f t="shared" si="35"/>
        <v>119</v>
      </c>
      <c r="AH150" s="177">
        <f t="shared" si="36"/>
        <v>119</v>
      </c>
      <c r="AI150" s="177">
        <f t="shared" si="37"/>
        <v>119</v>
      </c>
    </row>
    <row r="151" spans="15:35" x14ac:dyDescent="0.25">
      <c r="O151" s="180">
        <f t="shared" si="38"/>
        <v>45622</v>
      </c>
      <c r="P151" s="181">
        <f t="shared" si="31"/>
        <v>3</v>
      </c>
      <c r="Q151" s="26">
        <f t="shared" si="27"/>
        <v>1</v>
      </c>
      <c r="R151" s="26">
        <f t="shared" si="27"/>
        <v>1</v>
      </c>
      <c r="S151" s="26">
        <f t="shared" si="27"/>
        <v>1</v>
      </c>
      <c r="T151" s="26">
        <f t="shared" si="27"/>
        <v>1</v>
      </c>
      <c r="U151" s="26">
        <f t="shared" si="28"/>
        <v>1</v>
      </c>
      <c r="V151" s="180">
        <f t="shared" si="32"/>
        <v>45622</v>
      </c>
      <c r="W151" s="181">
        <f t="shared" si="30"/>
        <v>3</v>
      </c>
      <c r="AC151" t="s">
        <v>13</v>
      </c>
      <c r="AD151" s="180">
        <f t="shared" si="39"/>
        <v>45622</v>
      </c>
      <c r="AE151" s="177">
        <f t="shared" si="33"/>
        <v>126</v>
      </c>
      <c r="AF151" s="177">
        <f t="shared" si="34"/>
        <v>126</v>
      </c>
      <c r="AG151" s="177">
        <f t="shared" si="35"/>
        <v>118</v>
      </c>
      <c r="AH151" s="177">
        <f t="shared" si="36"/>
        <v>118</v>
      </c>
      <c r="AI151" s="177">
        <f t="shared" si="37"/>
        <v>118</v>
      </c>
    </row>
    <row r="152" spans="15:35" x14ac:dyDescent="0.25">
      <c r="O152" s="180">
        <f t="shared" si="38"/>
        <v>45623</v>
      </c>
      <c r="P152" s="181">
        <f t="shared" si="31"/>
        <v>4</v>
      </c>
      <c r="Q152" s="26" t="s">
        <v>83</v>
      </c>
      <c r="R152" s="26" t="s">
        <v>83</v>
      </c>
      <c r="S152" s="26" t="s">
        <v>83</v>
      </c>
      <c r="T152" s="26" t="s">
        <v>83</v>
      </c>
      <c r="U152" s="26" t="s">
        <v>83</v>
      </c>
      <c r="V152" s="180">
        <f t="shared" si="32"/>
        <v>45623</v>
      </c>
      <c r="W152" s="181">
        <f t="shared" si="30"/>
        <v>4</v>
      </c>
      <c r="AD152" s="180">
        <f t="shared" si="39"/>
        <v>45623</v>
      </c>
      <c r="AE152" s="177">
        <f t="shared" si="33"/>
        <v>126</v>
      </c>
      <c r="AF152" s="177">
        <f t="shared" si="34"/>
        <v>126</v>
      </c>
      <c r="AG152" s="177">
        <f t="shared" si="35"/>
        <v>118</v>
      </c>
      <c r="AH152" s="177">
        <f t="shared" si="36"/>
        <v>118</v>
      </c>
      <c r="AI152" s="177">
        <f t="shared" si="37"/>
        <v>118</v>
      </c>
    </row>
    <row r="153" spans="15:35" x14ac:dyDescent="0.25">
      <c r="O153" s="180">
        <f t="shared" si="38"/>
        <v>45624</v>
      </c>
      <c r="P153" s="181">
        <f t="shared" si="31"/>
        <v>5</v>
      </c>
      <c r="Q153" s="26" t="s">
        <v>83</v>
      </c>
      <c r="R153" s="26" t="s">
        <v>83</v>
      </c>
      <c r="S153" s="26" t="s">
        <v>83</v>
      </c>
      <c r="T153" s="26" t="s">
        <v>83</v>
      </c>
      <c r="U153" s="26" t="s">
        <v>83</v>
      </c>
      <c r="V153" s="180">
        <f t="shared" si="32"/>
        <v>45624</v>
      </c>
      <c r="W153" s="181">
        <f t="shared" si="30"/>
        <v>5</v>
      </c>
      <c r="AD153" s="180">
        <f t="shared" si="39"/>
        <v>45624</v>
      </c>
      <c r="AE153" s="177">
        <f t="shared" si="33"/>
        <v>126</v>
      </c>
      <c r="AF153" s="177">
        <f t="shared" si="34"/>
        <v>126</v>
      </c>
      <c r="AG153" s="177">
        <f t="shared" si="35"/>
        <v>118</v>
      </c>
      <c r="AH153" s="177">
        <f t="shared" si="36"/>
        <v>118</v>
      </c>
      <c r="AI153" s="177">
        <f t="shared" si="37"/>
        <v>118</v>
      </c>
    </row>
    <row r="154" spans="15:35" x14ac:dyDescent="0.25">
      <c r="O154" s="180">
        <f t="shared" si="38"/>
        <v>45625</v>
      </c>
      <c r="P154" s="181">
        <f t="shared" si="31"/>
        <v>6</v>
      </c>
      <c r="Q154" s="26" t="s">
        <v>83</v>
      </c>
      <c r="R154" s="26" t="s">
        <v>83</v>
      </c>
      <c r="S154" s="26" t="s">
        <v>83</v>
      </c>
      <c r="T154" s="26" t="s">
        <v>83</v>
      </c>
      <c r="U154" s="26" t="s">
        <v>83</v>
      </c>
      <c r="V154" s="180">
        <f t="shared" si="32"/>
        <v>45625</v>
      </c>
      <c r="W154" s="181">
        <f t="shared" si="30"/>
        <v>6</v>
      </c>
      <c r="AD154" s="180">
        <f t="shared" si="39"/>
        <v>45625</v>
      </c>
      <c r="AE154" s="177">
        <f t="shared" si="33"/>
        <v>126</v>
      </c>
      <c r="AF154" s="177">
        <f t="shared" si="34"/>
        <v>126</v>
      </c>
      <c r="AG154" s="177">
        <f t="shared" si="35"/>
        <v>118</v>
      </c>
      <c r="AH154" s="177">
        <f t="shared" si="36"/>
        <v>118</v>
      </c>
      <c r="AI154" s="177">
        <f t="shared" si="37"/>
        <v>118</v>
      </c>
    </row>
    <row r="155" spans="15:35" x14ac:dyDescent="0.25">
      <c r="O155" s="180">
        <f t="shared" si="38"/>
        <v>45626</v>
      </c>
      <c r="P155" s="181">
        <f t="shared" si="31"/>
        <v>7</v>
      </c>
      <c r="Q155" s="26" t="str">
        <f t="shared" si="27"/>
        <v/>
      </c>
      <c r="R155" s="26" t="str">
        <f t="shared" si="27"/>
        <v/>
      </c>
      <c r="S155" s="26" t="str">
        <f t="shared" si="27"/>
        <v/>
      </c>
      <c r="T155" s="26" t="str">
        <f t="shared" si="27"/>
        <v/>
      </c>
      <c r="U155" s="26" t="str">
        <f t="shared" si="28"/>
        <v/>
      </c>
      <c r="V155" s="180">
        <f t="shared" si="32"/>
        <v>45626</v>
      </c>
      <c r="W155" s="181">
        <f t="shared" si="30"/>
        <v>7</v>
      </c>
      <c r="AD155" s="180">
        <f t="shared" si="39"/>
        <v>45626</v>
      </c>
      <c r="AE155" s="177">
        <f t="shared" si="33"/>
        <v>126</v>
      </c>
      <c r="AF155" s="177">
        <f t="shared" si="34"/>
        <v>126</v>
      </c>
      <c r="AG155" s="177">
        <f t="shared" si="35"/>
        <v>118</v>
      </c>
      <c r="AH155" s="177">
        <f t="shared" si="36"/>
        <v>118</v>
      </c>
      <c r="AI155" s="177">
        <f t="shared" si="37"/>
        <v>118</v>
      </c>
    </row>
    <row r="156" spans="15:35" x14ac:dyDescent="0.25">
      <c r="O156" s="180">
        <f t="shared" si="38"/>
        <v>45627</v>
      </c>
      <c r="P156" s="181">
        <f t="shared" si="31"/>
        <v>1</v>
      </c>
      <c r="Q156" s="26" t="str">
        <f t="shared" si="27"/>
        <v/>
      </c>
      <c r="R156" s="26" t="str">
        <f t="shared" si="27"/>
        <v/>
      </c>
      <c r="S156" s="26" t="str">
        <f t="shared" si="27"/>
        <v/>
      </c>
      <c r="T156" s="26" t="str">
        <f t="shared" si="27"/>
        <v/>
      </c>
      <c r="U156" s="26" t="str">
        <f t="shared" si="28"/>
        <v/>
      </c>
      <c r="V156" s="180">
        <f t="shared" si="32"/>
        <v>45627</v>
      </c>
      <c r="W156" s="181">
        <f t="shared" si="30"/>
        <v>1</v>
      </c>
      <c r="AD156" s="180">
        <f t="shared" si="39"/>
        <v>45627</v>
      </c>
      <c r="AE156" s="177">
        <f t="shared" si="33"/>
        <v>126</v>
      </c>
      <c r="AF156" s="177">
        <f t="shared" si="34"/>
        <v>126</v>
      </c>
      <c r="AG156" s="177">
        <f t="shared" si="35"/>
        <v>118</v>
      </c>
      <c r="AH156" s="177">
        <f t="shared" si="36"/>
        <v>118</v>
      </c>
      <c r="AI156" s="177">
        <f t="shared" si="37"/>
        <v>118</v>
      </c>
    </row>
    <row r="157" spans="15:35" x14ac:dyDescent="0.25">
      <c r="O157" s="180">
        <f t="shared" si="38"/>
        <v>45628</v>
      </c>
      <c r="P157" s="181">
        <f t="shared" si="31"/>
        <v>2</v>
      </c>
      <c r="Q157" s="26">
        <f t="shared" si="27"/>
        <v>1</v>
      </c>
      <c r="R157" s="26">
        <f t="shared" si="27"/>
        <v>1</v>
      </c>
      <c r="S157" s="26">
        <f t="shared" si="27"/>
        <v>1</v>
      </c>
      <c r="T157" s="26">
        <f t="shared" si="27"/>
        <v>1</v>
      </c>
      <c r="U157" s="26">
        <f t="shared" si="28"/>
        <v>1</v>
      </c>
      <c r="V157" s="180">
        <f t="shared" si="32"/>
        <v>45628</v>
      </c>
      <c r="W157" s="181">
        <f t="shared" si="30"/>
        <v>2</v>
      </c>
      <c r="AC157" t="s">
        <v>410</v>
      </c>
      <c r="AD157" s="180">
        <f t="shared" si="39"/>
        <v>45628</v>
      </c>
      <c r="AE157" s="177">
        <f t="shared" si="33"/>
        <v>125</v>
      </c>
      <c r="AF157" s="177">
        <f t="shared" si="34"/>
        <v>125</v>
      </c>
      <c r="AG157" s="177">
        <f t="shared" si="35"/>
        <v>117</v>
      </c>
      <c r="AH157" s="177">
        <f t="shared" si="36"/>
        <v>117</v>
      </c>
      <c r="AI157" s="177">
        <f t="shared" si="37"/>
        <v>117</v>
      </c>
    </row>
    <row r="158" spans="15:35" x14ac:dyDescent="0.25">
      <c r="O158" s="180">
        <f t="shared" si="38"/>
        <v>45629</v>
      </c>
      <c r="P158" s="181">
        <f t="shared" si="31"/>
        <v>3</v>
      </c>
      <c r="Q158" s="26">
        <f t="shared" si="27"/>
        <v>1</v>
      </c>
      <c r="R158" s="26">
        <f t="shared" si="27"/>
        <v>1</v>
      </c>
      <c r="S158" s="26">
        <f t="shared" si="27"/>
        <v>1</v>
      </c>
      <c r="T158" s="26">
        <f t="shared" si="27"/>
        <v>1</v>
      </c>
      <c r="U158" s="26">
        <f t="shared" si="28"/>
        <v>1</v>
      </c>
      <c r="V158" s="180">
        <f t="shared" si="32"/>
        <v>45629</v>
      </c>
      <c r="W158" s="181">
        <f t="shared" si="30"/>
        <v>3</v>
      </c>
      <c r="AC158" t="s">
        <v>13</v>
      </c>
      <c r="AD158" s="180">
        <f t="shared" si="39"/>
        <v>45629</v>
      </c>
      <c r="AE158" s="177">
        <f t="shared" si="33"/>
        <v>124</v>
      </c>
      <c r="AF158" s="177">
        <f t="shared" si="34"/>
        <v>124</v>
      </c>
      <c r="AG158" s="177">
        <f t="shared" si="35"/>
        <v>116</v>
      </c>
      <c r="AH158" s="177">
        <f t="shared" si="36"/>
        <v>116</v>
      </c>
      <c r="AI158" s="177">
        <f t="shared" si="37"/>
        <v>116</v>
      </c>
    </row>
    <row r="159" spans="15:35" x14ac:dyDescent="0.25">
      <c r="O159" s="180">
        <f t="shared" si="38"/>
        <v>45630</v>
      </c>
      <c r="P159" s="181">
        <f t="shared" si="31"/>
        <v>4</v>
      </c>
      <c r="Q159" s="26">
        <f t="shared" si="27"/>
        <v>1</v>
      </c>
      <c r="R159" s="26">
        <f t="shared" ref="Q159:U176" si="42">IF(OR($P159=2,$P159=3,$P159=4,$P159=5,$P159=6),1,"")</f>
        <v>1</v>
      </c>
      <c r="S159" s="26">
        <f t="shared" si="42"/>
        <v>1</v>
      </c>
      <c r="T159" s="26">
        <f t="shared" si="42"/>
        <v>1</v>
      </c>
      <c r="U159" s="26">
        <f t="shared" si="42"/>
        <v>1</v>
      </c>
      <c r="V159" s="180">
        <f t="shared" si="32"/>
        <v>45630</v>
      </c>
      <c r="W159" s="181">
        <f t="shared" si="30"/>
        <v>4</v>
      </c>
      <c r="AC159" t="s">
        <v>410</v>
      </c>
      <c r="AD159" s="180">
        <f t="shared" si="39"/>
        <v>45630</v>
      </c>
      <c r="AE159" s="177">
        <f t="shared" si="33"/>
        <v>123</v>
      </c>
      <c r="AF159" s="177">
        <f t="shared" si="34"/>
        <v>123</v>
      </c>
      <c r="AG159" s="177">
        <f t="shared" si="35"/>
        <v>115</v>
      </c>
      <c r="AH159" s="177">
        <f t="shared" si="36"/>
        <v>115</v>
      </c>
      <c r="AI159" s="177">
        <f t="shared" si="37"/>
        <v>115</v>
      </c>
    </row>
    <row r="160" spans="15:35" x14ac:dyDescent="0.25">
      <c r="O160" s="180">
        <f t="shared" si="38"/>
        <v>45631</v>
      </c>
      <c r="P160" s="181">
        <f t="shared" si="31"/>
        <v>5</v>
      </c>
      <c r="Q160" s="26">
        <f t="shared" si="42"/>
        <v>1</v>
      </c>
      <c r="R160" s="26">
        <f t="shared" si="42"/>
        <v>1</v>
      </c>
      <c r="S160" s="26">
        <f t="shared" si="42"/>
        <v>1</v>
      </c>
      <c r="T160" s="26">
        <f t="shared" si="42"/>
        <v>1</v>
      </c>
      <c r="U160" s="26">
        <f t="shared" si="42"/>
        <v>1</v>
      </c>
      <c r="V160" s="180">
        <f t="shared" si="32"/>
        <v>45631</v>
      </c>
      <c r="W160" s="181">
        <f t="shared" si="30"/>
        <v>5</v>
      </c>
      <c r="AC160" t="s">
        <v>13</v>
      </c>
      <c r="AD160" s="180">
        <f t="shared" si="39"/>
        <v>45631</v>
      </c>
      <c r="AE160" s="177">
        <f t="shared" si="33"/>
        <v>122</v>
      </c>
      <c r="AF160" s="177">
        <f t="shared" si="34"/>
        <v>122</v>
      </c>
      <c r="AG160" s="177">
        <f t="shared" si="35"/>
        <v>114</v>
      </c>
      <c r="AH160" s="177">
        <f t="shared" si="36"/>
        <v>114</v>
      </c>
      <c r="AI160" s="177">
        <f t="shared" si="37"/>
        <v>114</v>
      </c>
    </row>
    <row r="161" spans="15:35" x14ac:dyDescent="0.25">
      <c r="O161" s="180">
        <f t="shared" si="38"/>
        <v>45632</v>
      </c>
      <c r="P161" s="181">
        <f t="shared" si="31"/>
        <v>6</v>
      </c>
      <c r="Q161" s="26">
        <f t="shared" si="42"/>
        <v>1</v>
      </c>
      <c r="R161" s="26">
        <f t="shared" si="42"/>
        <v>1</v>
      </c>
      <c r="S161" s="26">
        <f t="shared" si="42"/>
        <v>1</v>
      </c>
      <c r="T161" s="26">
        <f t="shared" si="42"/>
        <v>1</v>
      </c>
      <c r="U161" s="26">
        <f t="shared" si="42"/>
        <v>1</v>
      </c>
      <c r="V161" s="180">
        <f t="shared" si="32"/>
        <v>45632</v>
      </c>
      <c r="W161" s="181">
        <f t="shared" si="30"/>
        <v>6</v>
      </c>
      <c r="AC161" t="s">
        <v>410</v>
      </c>
      <c r="AD161" s="180">
        <f t="shared" si="39"/>
        <v>45632</v>
      </c>
      <c r="AE161" s="177">
        <f t="shared" si="33"/>
        <v>121</v>
      </c>
      <c r="AF161" s="177">
        <f t="shared" si="34"/>
        <v>121</v>
      </c>
      <c r="AG161" s="177">
        <f t="shared" si="35"/>
        <v>113</v>
      </c>
      <c r="AH161" s="177">
        <f t="shared" si="36"/>
        <v>113</v>
      </c>
      <c r="AI161" s="177">
        <f t="shared" si="37"/>
        <v>113</v>
      </c>
    </row>
    <row r="162" spans="15:35" x14ac:dyDescent="0.25">
      <c r="O162" s="180">
        <f t="shared" si="38"/>
        <v>45633</v>
      </c>
      <c r="P162" s="181">
        <f t="shared" si="31"/>
        <v>7</v>
      </c>
      <c r="Q162" s="26" t="str">
        <f t="shared" si="42"/>
        <v/>
      </c>
      <c r="R162" s="26" t="str">
        <f t="shared" si="42"/>
        <v/>
      </c>
      <c r="S162" s="26" t="str">
        <f t="shared" si="42"/>
        <v/>
      </c>
      <c r="T162" s="26" t="str">
        <f t="shared" si="42"/>
        <v/>
      </c>
      <c r="U162" s="26" t="str">
        <f t="shared" si="42"/>
        <v/>
      </c>
      <c r="V162" s="180">
        <f t="shared" si="32"/>
        <v>45633</v>
      </c>
      <c r="W162" s="181">
        <f t="shared" si="30"/>
        <v>7</v>
      </c>
      <c r="AD162" s="180">
        <f t="shared" si="39"/>
        <v>45633</v>
      </c>
      <c r="AE162" s="177">
        <f t="shared" si="33"/>
        <v>121</v>
      </c>
      <c r="AF162" s="177">
        <f t="shared" si="34"/>
        <v>121</v>
      </c>
      <c r="AG162" s="177">
        <f t="shared" si="35"/>
        <v>113</v>
      </c>
      <c r="AH162" s="177">
        <f t="shared" si="36"/>
        <v>113</v>
      </c>
      <c r="AI162" s="177">
        <f t="shared" si="37"/>
        <v>113</v>
      </c>
    </row>
    <row r="163" spans="15:35" x14ac:dyDescent="0.25">
      <c r="O163" s="180">
        <f t="shared" si="38"/>
        <v>45634</v>
      </c>
      <c r="P163" s="181">
        <f t="shared" si="31"/>
        <v>1</v>
      </c>
      <c r="Q163" s="26" t="str">
        <f t="shared" si="42"/>
        <v/>
      </c>
      <c r="R163" s="26" t="str">
        <f t="shared" si="42"/>
        <v/>
      </c>
      <c r="S163" s="26" t="str">
        <f t="shared" si="42"/>
        <v/>
      </c>
      <c r="T163" s="26" t="str">
        <f t="shared" si="42"/>
        <v/>
      </c>
      <c r="U163" s="26" t="str">
        <f t="shared" si="42"/>
        <v/>
      </c>
      <c r="V163" s="180">
        <f t="shared" si="32"/>
        <v>45634</v>
      </c>
      <c r="W163" s="181">
        <f t="shared" si="30"/>
        <v>1</v>
      </c>
      <c r="AD163" s="180">
        <f t="shared" si="39"/>
        <v>45634</v>
      </c>
      <c r="AE163" s="177">
        <f t="shared" si="33"/>
        <v>121</v>
      </c>
      <c r="AF163" s="177">
        <f t="shared" si="34"/>
        <v>121</v>
      </c>
      <c r="AG163" s="177">
        <f t="shared" si="35"/>
        <v>113</v>
      </c>
      <c r="AH163" s="177">
        <f t="shared" si="36"/>
        <v>113</v>
      </c>
      <c r="AI163" s="177">
        <f t="shared" si="37"/>
        <v>113</v>
      </c>
    </row>
    <row r="164" spans="15:35" x14ac:dyDescent="0.25">
      <c r="O164" s="180">
        <f t="shared" si="38"/>
        <v>45635</v>
      </c>
      <c r="P164" s="181">
        <f t="shared" si="31"/>
        <v>2</v>
      </c>
      <c r="Q164" s="26">
        <f t="shared" si="42"/>
        <v>1</v>
      </c>
      <c r="R164" s="26">
        <f t="shared" si="42"/>
        <v>1</v>
      </c>
      <c r="S164" s="26">
        <f t="shared" si="42"/>
        <v>1</v>
      </c>
      <c r="T164" s="26">
        <f t="shared" si="42"/>
        <v>1</v>
      </c>
      <c r="U164" s="26">
        <f t="shared" si="42"/>
        <v>1</v>
      </c>
      <c r="V164" s="180">
        <f t="shared" si="32"/>
        <v>45635</v>
      </c>
      <c r="W164" s="181">
        <f t="shared" si="30"/>
        <v>2</v>
      </c>
      <c r="AC164" t="s">
        <v>13</v>
      </c>
      <c r="AD164" s="180">
        <f t="shared" si="39"/>
        <v>45635</v>
      </c>
      <c r="AE164" s="177">
        <f t="shared" si="33"/>
        <v>120</v>
      </c>
      <c r="AF164" s="177">
        <f t="shared" si="34"/>
        <v>120</v>
      </c>
      <c r="AG164" s="177">
        <f t="shared" si="35"/>
        <v>112</v>
      </c>
      <c r="AH164" s="177">
        <f t="shared" si="36"/>
        <v>112</v>
      </c>
      <c r="AI164" s="177">
        <f t="shared" si="37"/>
        <v>112</v>
      </c>
    </row>
    <row r="165" spans="15:35" x14ac:dyDescent="0.25">
      <c r="O165" s="180">
        <f t="shared" si="38"/>
        <v>45636</v>
      </c>
      <c r="P165" s="181">
        <f t="shared" si="31"/>
        <v>3</v>
      </c>
      <c r="Q165" s="26">
        <f t="shared" si="42"/>
        <v>1</v>
      </c>
      <c r="R165" s="26">
        <f t="shared" si="42"/>
        <v>1</v>
      </c>
      <c r="S165" s="26">
        <f t="shared" si="42"/>
        <v>1</v>
      </c>
      <c r="T165" s="26">
        <f t="shared" si="42"/>
        <v>1</v>
      </c>
      <c r="U165" s="26">
        <f t="shared" si="42"/>
        <v>1</v>
      </c>
      <c r="V165" s="180">
        <f t="shared" si="32"/>
        <v>45636</v>
      </c>
      <c r="W165" s="181">
        <f t="shared" si="30"/>
        <v>3</v>
      </c>
      <c r="AC165" t="s">
        <v>410</v>
      </c>
      <c r="AD165" s="180">
        <f t="shared" si="39"/>
        <v>45636</v>
      </c>
      <c r="AE165" s="177">
        <f t="shared" si="33"/>
        <v>119</v>
      </c>
      <c r="AF165" s="177">
        <f t="shared" si="34"/>
        <v>119</v>
      </c>
      <c r="AG165" s="177">
        <f t="shared" si="35"/>
        <v>111</v>
      </c>
      <c r="AH165" s="177">
        <f t="shared" si="36"/>
        <v>111</v>
      </c>
      <c r="AI165" s="177">
        <f t="shared" si="37"/>
        <v>111</v>
      </c>
    </row>
    <row r="166" spans="15:35" x14ac:dyDescent="0.25">
      <c r="O166" s="180">
        <f t="shared" si="38"/>
        <v>45637</v>
      </c>
      <c r="P166" s="181">
        <f t="shared" si="31"/>
        <v>4</v>
      </c>
      <c r="Q166" s="26">
        <f t="shared" si="42"/>
        <v>1</v>
      </c>
      <c r="R166" s="26">
        <f t="shared" si="42"/>
        <v>1</v>
      </c>
      <c r="S166" s="26">
        <f t="shared" si="42"/>
        <v>1</v>
      </c>
      <c r="T166" s="26">
        <f t="shared" si="42"/>
        <v>1</v>
      </c>
      <c r="U166" s="26">
        <f t="shared" si="42"/>
        <v>1</v>
      </c>
      <c r="V166" s="180">
        <f t="shared" si="32"/>
        <v>45637</v>
      </c>
      <c r="W166" s="181">
        <f t="shared" si="30"/>
        <v>4</v>
      </c>
      <c r="AC166" t="s">
        <v>13</v>
      </c>
      <c r="AD166" s="180">
        <f t="shared" si="39"/>
        <v>45637</v>
      </c>
      <c r="AE166" s="177">
        <f t="shared" si="33"/>
        <v>118</v>
      </c>
      <c r="AF166" s="177">
        <f t="shared" si="34"/>
        <v>118</v>
      </c>
      <c r="AG166" s="177">
        <f t="shared" si="35"/>
        <v>110</v>
      </c>
      <c r="AH166" s="177">
        <f t="shared" si="36"/>
        <v>110</v>
      </c>
      <c r="AI166" s="177">
        <f t="shared" si="37"/>
        <v>110</v>
      </c>
    </row>
    <row r="167" spans="15:35" x14ac:dyDescent="0.25">
      <c r="O167" s="180">
        <f t="shared" si="38"/>
        <v>45638</v>
      </c>
      <c r="P167" s="181">
        <f t="shared" si="31"/>
        <v>5</v>
      </c>
      <c r="Q167" s="26">
        <f t="shared" si="42"/>
        <v>1</v>
      </c>
      <c r="R167" s="26">
        <f t="shared" si="42"/>
        <v>1</v>
      </c>
      <c r="S167" s="26">
        <f t="shared" si="42"/>
        <v>1</v>
      </c>
      <c r="T167" s="26">
        <f t="shared" si="42"/>
        <v>1</v>
      </c>
      <c r="U167" s="26">
        <f t="shared" si="42"/>
        <v>1</v>
      </c>
      <c r="V167" s="180">
        <f t="shared" si="32"/>
        <v>45638</v>
      </c>
      <c r="W167" s="181">
        <f t="shared" si="30"/>
        <v>5</v>
      </c>
      <c r="AC167" t="s">
        <v>410</v>
      </c>
      <c r="AD167" s="180">
        <f t="shared" si="39"/>
        <v>45638</v>
      </c>
      <c r="AE167" s="177">
        <f t="shared" si="33"/>
        <v>117</v>
      </c>
      <c r="AF167" s="177">
        <f t="shared" si="34"/>
        <v>117</v>
      </c>
      <c r="AG167" s="177">
        <f t="shared" si="35"/>
        <v>109</v>
      </c>
      <c r="AH167" s="177">
        <f t="shared" si="36"/>
        <v>109</v>
      </c>
      <c r="AI167" s="177">
        <f t="shared" si="37"/>
        <v>109</v>
      </c>
    </row>
    <row r="168" spans="15:35" x14ac:dyDescent="0.25">
      <c r="O168" s="180">
        <f t="shared" si="38"/>
        <v>45639</v>
      </c>
      <c r="P168" s="181">
        <f t="shared" si="31"/>
        <v>6</v>
      </c>
      <c r="Q168" s="26">
        <f t="shared" si="42"/>
        <v>1</v>
      </c>
      <c r="R168" s="26">
        <f t="shared" si="42"/>
        <v>1</v>
      </c>
      <c r="S168" s="26">
        <f t="shared" si="42"/>
        <v>1</v>
      </c>
      <c r="T168" s="26">
        <f t="shared" si="42"/>
        <v>1</v>
      </c>
      <c r="U168" s="26">
        <f t="shared" si="42"/>
        <v>1</v>
      </c>
      <c r="V168" s="180">
        <f t="shared" si="32"/>
        <v>45639</v>
      </c>
      <c r="W168" s="181">
        <f t="shared" si="30"/>
        <v>6</v>
      </c>
      <c r="AC168" t="s">
        <v>13</v>
      </c>
      <c r="AD168" s="180">
        <f t="shared" si="39"/>
        <v>45639</v>
      </c>
      <c r="AE168" s="177">
        <f t="shared" si="33"/>
        <v>116</v>
      </c>
      <c r="AF168" s="177">
        <f t="shared" si="34"/>
        <v>116</v>
      </c>
      <c r="AG168" s="177">
        <f t="shared" si="35"/>
        <v>108</v>
      </c>
      <c r="AH168" s="177">
        <f t="shared" si="36"/>
        <v>108</v>
      </c>
      <c r="AI168" s="177">
        <f t="shared" si="37"/>
        <v>108</v>
      </c>
    </row>
    <row r="169" spans="15:35" x14ac:dyDescent="0.25">
      <c r="O169" s="180">
        <f t="shared" si="38"/>
        <v>45640</v>
      </c>
      <c r="P169" s="181">
        <f t="shared" si="31"/>
        <v>7</v>
      </c>
      <c r="Q169" s="26" t="str">
        <f t="shared" si="42"/>
        <v/>
      </c>
      <c r="R169" s="26" t="str">
        <f t="shared" si="42"/>
        <v/>
      </c>
      <c r="S169" s="26" t="str">
        <f t="shared" si="42"/>
        <v/>
      </c>
      <c r="T169" s="26" t="str">
        <f t="shared" si="42"/>
        <v/>
      </c>
      <c r="U169" s="26" t="str">
        <f t="shared" si="42"/>
        <v/>
      </c>
      <c r="V169" s="180">
        <f t="shared" si="32"/>
        <v>45640</v>
      </c>
      <c r="W169" s="181">
        <f t="shared" si="30"/>
        <v>7</v>
      </c>
      <c r="AD169" s="180">
        <f t="shared" si="39"/>
        <v>45640</v>
      </c>
      <c r="AE169" s="177">
        <f t="shared" si="33"/>
        <v>116</v>
      </c>
      <c r="AF169" s="177">
        <f t="shared" si="34"/>
        <v>116</v>
      </c>
      <c r="AG169" s="177">
        <f t="shared" si="35"/>
        <v>108</v>
      </c>
      <c r="AH169" s="177">
        <f t="shared" si="36"/>
        <v>108</v>
      </c>
      <c r="AI169" s="177">
        <f t="shared" si="37"/>
        <v>108</v>
      </c>
    </row>
    <row r="170" spans="15:35" x14ac:dyDescent="0.25">
      <c r="O170" s="180">
        <f t="shared" si="38"/>
        <v>45641</v>
      </c>
      <c r="P170" s="181">
        <f t="shared" si="31"/>
        <v>1</v>
      </c>
      <c r="Q170" s="26" t="str">
        <f t="shared" si="42"/>
        <v/>
      </c>
      <c r="R170" s="26" t="str">
        <f t="shared" si="42"/>
        <v/>
      </c>
      <c r="S170" s="26" t="str">
        <f t="shared" si="42"/>
        <v/>
      </c>
      <c r="T170" s="26" t="str">
        <f t="shared" si="42"/>
        <v/>
      </c>
      <c r="U170" s="26" t="str">
        <f t="shared" si="42"/>
        <v/>
      </c>
      <c r="V170" s="180">
        <f t="shared" si="32"/>
        <v>45641</v>
      </c>
      <c r="W170" s="181">
        <f t="shared" si="30"/>
        <v>1</v>
      </c>
      <c r="AD170" s="180">
        <f t="shared" si="39"/>
        <v>45641</v>
      </c>
      <c r="AE170" s="177">
        <f t="shared" si="33"/>
        <v>116</v>
      </c>
      <c r="AF170" s="177">
        <f t="shared" si="34"/>
        <v>116</v>
      </c>
      <c r="AG170" s="177">
        <f t="shared" si="35"/>
        <v>108</v>
      </c>
      <c r="AH170" s="177">
        <f t="shared" si="36"/>
        <v>108</v>
      </c>
      <c r="AI170" s="177">
        <f t="shared" si="37"/>
        <v>108</v>
      </c>
    </row>
    <row r="171" spans="15:35" x14ac:dyDescent="0.25">
      <c r="O171" s="180">
        <f t="shared" si="38"/>
        <v>45642</v>
      </c>
      <c r="P171" s="181">
        <f t="shared" si="31"/>
        <v>2</v>
      </c>
      <c r="Q171" s="26">
        <f t="shared" si="42"/>
        <v>1</v>
      </c>
      <c r="R171" s="26">
        <f t="shared" si="42"/>
        <v>1</v>
      </c>
      <c r="S171" s="26">
        <f t="shared" si="42"/>
        <v>1</v>
      </c>
      <c r="T171" s="26">
        <f t="shared" si="42"/>
        <v>1</v>
      </c>
      <c r="U171" s="26">
        <f t="shared" si="42"/>
        <v>1</v>
      </c>
      <c r="V171" s="180">
        <f t="shared" si="32"/>
        <v>45642</v>
      </c>
      <c r="W171" s="181">
        <f t="shared" si="30"/>
        <v>2</v>
      </c>
      <c r="AC171" t="s">
        <v>410</v>
      </c>
      <c r="AD171" s="180">
        <f t="shared" si="39"/>
        <v>45642</v>
      </c>
      <c r="AE171" s="177">
        <f t="shared" si="33"/>
        <v>115</v>
      </c>
      <c r="AF171" s="177">
        <f t="shared" si="34"/>
        <v>115</v>
      </c>
      <c r="AG171" s="177">
        <f t="shared" si="35"/>
        <v>107</v>
      </c>
      <c r="AH171" s="177">
        <f t="shared" si="36"/>
        <v>107</v>
      </c>
      <c r="AI171" s="177">
        <f t="shared" si="37"/>
        <v>107</v>
      </c>
    </row>
    <row r="172" spans="15:35" x14ac:dyDescent="0.25">
      <c r="O172" s="180">
        <f t="shared" si="38"/>
        <v>45643</v>
      </c>
      <c r="P172" s="181">
        <f t="shared" si="31"/>
        <v>3</v>
      </c>
      <c r="Q172" s="26">
        <f t="shared" si="42"/>
        <v>1</v>
      </c>
      <c r="R172" s="26">
        <f t="shared" si="42"/>
        <v>1</v>
      </c>
      <c r="S172" s="26">
        <f t="shared" si="42"/>
        <v>1</v>
      </c>
      <c r="T172" s="26">
        <f t="shared" si="42"/>
        <v>1</v>
      </c>
      <c r="U172" s="26">
        <f t="shared" si="42"/>
        <v>1</v>
      </c>
      <c r="V172" s="180">
        <f t="shared" si="32"/>
        <v>45643</v>
      </c>
      <c r="W172" s="181">
        <f t="shared" si="30"/>
        <v>3</v>
      </c>
      <c r="AC172" t="s">
        <v>13</v>
      </c>
      <c r="AD172" s="180">
        <f t="shared" si="39"/>
        <v>45643</v>
      </c>
      <c r="AE172" s="177">
        <f t="shared" si="33"/>
        <v>114</v>
      </c>
      <c r="AF172" s="177">
        <f t="shared" si="34"/>
        <v>114</v>
      </c>
      <c r="AG172" s="177">
        <f t="shared" si="35"/>
        <v>106</v>
      </c>
      <c r="AH172" s="177">
        <f t="shared" si="36"/>
        <v>106</v>
      </c>
      <c r="AI172" s="177">
        <f t="shared" si="37"/>
        <v>106</v>
      </c>
    </row>
    <row r="173" spans="15:35" x14ac:dyDescent="0.25">
      <c r="O173" s="180">
        <f t="shared" si="38"/>
        <v>45644</v>
      </c>
      <c r="P173" s="181">
        <f t="shared" si="31"/>
        <v>4</v>
      </c>
      <c r="Q173" s="26">
        <f t="shared" si="42"/>
        <v>1</v>
      </c>
      <c r="R173" s="26">
        <f t="shared" si="42"/>
        <v>1</v>
      </c>
      <c r="S173" s="26">
        <f t="shared" si="42"/>
        <v>1</v>
      </c>
      <c r="T173" s="26">
        <f t="shared" si="42"/>
        <v>1</v>
      </c>
      <c r="U173" s="26">
        <f t="shared" si="42"/>
        <v>1</v>
      </c>
      <c r="V173" s="180">
        <f t="shared" si="32"/>
        <v>45644</v>
      </c>
      <c r="W173" s="181">
        <f t="shared" si="30"/>
        <v>4</v>
      </c>
      <c r="AC173" t="s">
        <v>410</v>
      </c>
      <c r="AD173" s="180">
        <f t="shared" si="39"/>
        <v>45644</v>
      </c>
      <c r="AE173" s="177">
        <f t="shared" si="33"/>
        <v>113</v>
      </c>
      <c r="AF173" s="177">
        <f t="shared" si="34"/>
        <v>113</v>
      </c>
      <c r="AG173" s="177">
        <f t="shared" si="35"/>
        <v>105</v>
      </c>
      <c r="AH173" s="177">
        <f t="shared" si="36"/>
        <v>105</v>
      </c>
      <c r="AI173" s="177">
        <f t="shared" si="37"/>
        <v>105</v>
      </c>
    </row>
    <row r="174" spans="15:35" x14ac:dyDescent="0.25">
      <c r="O174" s="180">
        <f t="shared" si="38"/>
        <v>45645</v>
      </c>
      <c r="P174" s="181">
        <f t="shared" si="31"/>
        <v>5</v>
      </c>
      <c r="Q174" s="26">
        <f t="shared" si="42"/>
        <v>1</v>
      </c>
      <c r="R174" s="26">
        <f t="shared" si="42"/>
        <v>1</v>
      </c>
      <c r="S174" s="26">
        <f t="shared" si="42"/>
        <v>1</v>
      </c>
      <c r="T174" s="26">
        <f t="shared" si="42"/>
        <v>1</v>
      </c>
      <c r="U174" s="26">
        <f t="shared" si="42"/>
        <v>1</v>
      </c>
      <c r="V174" s="180">
        <f t="shared" si="32"/>
        <v>45645</v>
      </c>
      <c r="W174" s="181">
        <f t="shared" si="30"/>
        <v>5</v>
      </c>
      <c r="AC174" t="s">
        <v>13</v>
      </c>
      <c r="AD174" s="180">
        <f t="shared" si="39"/>
        <v>45645</v>
      </c>
      <c r="AE174" s="177">
        <f t="shared" si="33"/>
        <v>112</v>
      </c>
      <c r="AF174" s="177">
        <f t="shared" si="34"/>
        <v>112</v>
      </c>
      <c r="AG174" s="177">
        <f t="shared" si="35"/>
        <v>104</v>
      </c>
      <c r="AH174" s="177">
        <f t="shared" si="36"/>
        <v>104</v>
      </c>
      <c r="AI174" s="177">
        <f t="shared" si="37"/>
        <v>104</v>
      </c>
    </row>
    <row r="175" spans="15:35" x14ac:dyDescent="0.25">
      <c r="O175" s="180">
        <f t="shared" si="38"/>
        <v>45646</v>
      </c>
      <c r="P175" s="181">
        <f t="shared" si="31"/>
        <v>6</v>
      </c>
      <c r="Q175" s="26">
        <f t="shared" si="42"/>
        <v>1</v>
      </c>
      <c r="R175" s="26">
        <f t="shared" si="42"/>
        <v>1</v>
      </c>
      <c r="S175" s="26">
        <f t="shared" si="42"/>
        <v>1</v>
      </c>
      <c r="T175" s="26">
        <f t="shared" si="42"/>
        <v>1</v>
      </c>
      <c r="U175" s="26">
        <f t="shared" si="42"/>
        <v>1</v>
      </c>
      <c r="V175" s="180">
        <f t="shared" si="32"/>
        <v>45646</v>
      </c>
      <c r="W175" s="181">
        <f t="shared" si="30"/>
        <v>6</v>
      </c>
      <c r="AC175" t="s">
        <v>410</v>
      </c>
      <c r="AD175" s="180">
        <f t="shared" si="39"/>
        <v>45646</v>
      </c>
      <c r="AE175" s="177">
        <f t="shared" si="33"/>
        <v>111</v>
      </c>
      <c r="AF175" s="177">
        <f t="shared" si="34"/>
        <v>111</v>
      </c>
      <c r="AG175" s="177">
        <f t="shared" si="35"/>
        <v>103</v>
      </c>
      <c r="AH175" s="177">
        <f t="shared" si="36"/>
        <v>103</v>
      </c>
      <c r="AI175" s="177">
        <f t="shared" si="37"/>
        <v>103</v>
      </c>
    </row>
    <row r="176" spans="15:35" x14ac:dyDescent="0.25">
      <c r="O176" s="180">
        <f t="shared" si="38"/>
        <v>45647</v>
      </c>
      <c r="P176" s="181">
        <f t="shared" si="31"/>
        <v>7</v>
      </c>
      <c r="Q176" s="26" t="str">
        <f t="shared" si="42"/>
        <v/>
      </c>
      <c r="R176" s="26" t="str">
        <f t="shared" si="42"/>
        <v/>
      </c>
      <c r="S176" s="26" t="str">
        <f t="shared" si="42"/>
        <v/>
      </c>
      <c r="T176" s="26" t="str">
        <f t="shared" si="42"/>
        <v/>
      </c>
      <c r="U176" s="26" t="str">
        <f t="shared" si="42"/>
        <v/>
      </c>
      <c r="V176" s="180">
        <f t="shared" si="32"/>
        <v>45647</v>
      </c>
      <c r="W176" s="181">
        <f t="shared" si="30"/>
        <v>7</v>
      </c>
      <c r="AD176" s="180">
        <f t="shared" si="39"/>
        <v>45647</v>
      </c>
      <c r="AE176" s="177">
        <f t="shared" si="33"/>
        <v>111</v>
      </c>
      <c r="AF176" s="177">
        <f t="shared" si="34"/>
        <v>111</v>
      </c>
      <c r="AG176" s="177">
        <f t="shared" si="35"/>
        <v>103</v>
      </c>
      <c r="AH176" s="177">
        <f t="shared" si="36"/>
        <v>103</v>
      </c>
      <c r="AI176" s="177">
        <f t="shared" si="37"/>
        <v>103</v>
      </c>
    </row>
    <row r="177" spans="15:35" x14ac:dyDescent="0.25">
      <c r="O177" s="180">
        <f t="shared" si="38"/>
        <v>45648</v>
      </c>
      <c r="P177" s="181">
        <f t="shared" si="31"/>
        <v>1</v>
      </c>
      <c r="R177" s="26"/>
      <c r="S177" s="26"/>
      <c r="T177" s="26"/>
      <c r="U177" s="26"/>
      <c r="V177" s="180">
        <f t="shared" si="32"/>
        <v>45648</v>
      </c>
      <c r="W177" s="181">
        <f t="shared" si="30"/>
        <v>1</v>
      </c>
      <c r="AD177" s="180">
        <f t="shared" si="39"/>
        <v>45648</v>
      </c>
      <c r="AE177" s="177">
        <f t="shared" si="33"/>
        <v>111</v>
      </c>
      <c r="AF177" s="177">
        <f t="shared" si="34"/>
        <v>111</v>
      </c>
      <c r="AG177" s="177">
        <f t="shared" si="35"/>
        <v>103</v>
      </c>
      <c r="AH177" s="177">
        <f t="shared" si="36"/>
        <v>103</v>
      </c>
      <c r="AI177" s="177">
        <f t="shared" si="37"/>
        <v>103</v>
      </c>
    </row>
    <row r="178" spans="15:35" x14ac:dyDescent="0.25">
      <c r="O178" s="180">
        <f t="shared" si="38"/>
        <v>45649</v>
      </c>
      <c r="P178" s="181">
        <f t="shared" si="31"/>
        <v>2</v>
      </c>
      <c r="Q178" s="26" t="s">
        <v>83</v>
      </c>
      <c r="R178" s="26" t="s">
        <v>83</v>
      </c>
      <c r="S178" s="26" t="s">
        <v>83</v>
      </c>
      <c r="T178" s="26" t="s">
        <v>83</v>
      </c>
      <c r="U178" s="26" t="s">
        <v>83</v>
      </c>
      <c r="V178" s="180">
        <f t="shared" si="32"/>
        <v>45649</v>
      </c>
      <c r="W178" s="181">
        <f t="shared" si="30"/>
        <v>2</v>
      </c>
      <c r="AD178" s="180">
        <f t="shared" si="39"/>
        <v>45649</v>
      </c>
      <c r="AE178" s="177">
        <f t="shared" si="33"/>
        <v>111</v>
      </c>
      <c r="AF178" s="177">
        <f t="shared" si="34"/>
        <v>111</v>
      </c>
      <c r="AG178" s="177">
        <f t="shared" si="35"/>
        <v>103</v>
      </c>
      <c r="AH178" s="177">
        <f t="shared" si="36"/>
        <v>103</v>
      </c>
      <c r="AI178" s="177">
        <f t="shared" si="37"/>
        <v>103</v>
      </c>
    </row>
    <row r="179" spans="15:35" x14ac:dyDescent="0.25">
      <c r="O179" s="180">
        <f t="shared" si="38"/>
        <v>45650</v>
      </c>
      <c r="P179" s="181">
        <f t="shared" si="31"/>
        <v>3</v>
      </c>
      <c r="Q179" s="26" t="s">
        <v>83</v>
      </c>
      <c r="R179" s="26" t="s">
        <v>83</v>
      </c>
      <c r="S179" s="26" t="s">
        <v>83</v>
      </c>
      <c r="T179" s="26" t="s">
        <v>83</v>
      </c>
      <c r="U179" s="26" t="s">
        <v>83</v>
      </c>
      <c r="V179" s="180">
        <f t="shared" si="32"/>
        <v>45650</v>
      </c>
      <c r="W179" s="181">
        <f t="shared" si="30"/>
        <v>3</v>
      </c>
      <c r="AD179" s="180">
        <f t="shared" si="39"/>
        <v>45650</v>
      </c>
      <c r="AE179" s="177">
        <f t="shared" si="33"/>
        <v>111</v>
      </c>
      <c r="AF179" s="177">
        <f t="shared" si="34"/>
        <v>111</v>
      </c>
      <c r="AG179" s="177">
        <f t="shared" si="35"/>
        <v>103</v>
      </c>
      <c r="AH179" s="177">
        <f t="shared" si="36"/>
        <v>103</v>
      </c>
      <c r="AI179" s="177">
        <f t="shared" si="37"/>
        <v>103</v>
      </c>
    </row>
    <row r="180" spans="15:35" x14ac:dyDescent="0.25">
      <c r="O180" s="180">
        <f t="shared" si="38"/>
        <v>45651</v>
      </c>
      <c r="P180" s="181">
        <f t="shared" si="31"/>
        <v>4</v>
      </c>
      <c r="Q180" s="26" t="s">
        <v>83</v>
      </c>
      <c r="R180" s="26" t="s">
        <v>83</v>
      </c>
      <c r="S180" s="26" t="s">
        <v>83</v>
      </c>
      <c r="T180" s="26" t="s">
        <v>83</v>
      </c>
      <c r="U180" s="26" t="s">
        <v>83</v>
      </c>
      <c r="V180" s="180">
        <f t="shared" si="32"/>
        <v>45651</v>
      </c>
      <c r="W180" s="181">
        <f t="shared" si="30"/>
        <v>4</v>
      </c>
      <c r="AD180" s="180">
        <f t="shared" si="39"/>
        <v>45651</v>
      </c>
      <c r="AE180" s="177">
        <f t="shared" si="33"/>
        <v>111</v>
      </c>
      <c r="AF180" s="177">
        <f t="shared" si="34"/>
        <v>111</v>
      </c>
      <c r="AG180" s="177">
        <f t="shared" si="35"/>
        <v>103</v>
      </c>
      <c r="AH180" s="177">
        <f t="shared" si="36"/>
        <v>103</v>
      </c>
      <c r="AI180" s="177">
        <f t="shared" si="37"/>
        <v>103</v>
      </c>
    </row>
    <row r="181" spans="15:35" x14ac:dyDescent="0.25">
      <c r="O181" s="180">
        <f t="shared" si="38"/>
        <v>45652</v>
      </c>
      <c r="P181" s="181">
        <f t="shared" si="31"/>
        <v>5</v>
      </c>
      <c r="Q181" s="26" t="s">
        <v>83</v>
      </c>
      <c r="R181" s="26" t="s">
        <v>83</v>
      </c>
      <c r="S181" s="26" t="s">
        <v>83</v>
      </c>
      <c r="T181" s="26" t="s">
        <v>83</v>
      </c>
      <c r="U181" s="26" t="s">
        <v>83</v>
      </c>
      <c r="V181" s="180">
        <f t="shared" si="32"/>
        <v>45652</v>
      </c>
      <c r="W181" s="181">
        <f t="shared" si="30"/>
        <v>5</v>
      </c>
      <c r="AD181" s="180">
        <f t="shared" si="39"/>
        <v>45652</v>
      </c>
      <c r="AE181" s="177">
        <f t="shared" si="33"/>
        <v>111</v>
      </c>
      <c r="AF181" s="177">
        <f t="shared" si="34"/>
        <v>111</v>
      </c>
      <c r="AG181" s="177">
        <f t="shared" si="35"/>
        <v>103</v>
      </c>
      <c r="AH181" s="177">
        <f t="shared" si="36"/>
        <v>103</v>
      </c>
      <c r="AI181" s="177">
        <f t="shared" si="37"/>
        <v>103</v>
      </c>
    </row>
    <row r="182" spans="15:35" x14ac:dyDescent="0.25">
      <c r="O182" s="180">
        <f t="shared" si="38"/>
        <v>45653</v>
      </c>
      <c r="P182" s="181">
        <f t="shared" si="31"/>
        <v>6</v>
      </c>
      <c r="Q182" s="26" t="s">
        <v>83</v>
      </c>
      <c r="R182" s="26" t="s">
        <v>83</v>
      </c>
      <c r="S182" s="26" t="s">
        <v>83</v>
      </c>
      <c r="T182" s="26" t="s">
        <v>83</v>
      </c>
      <c r="U182" s="26" t="s">
        <v>83</v>
      </c>
      <c r="V182" s="180">
        <f t="shared" si="32"/>
        <v>45653</v>
      </c>
      <c r="W182" s="181">
        <f t="shared" si="30"/>
        <v>6</v>
      </c>
      <c r="AD182" s="180">
        <f t="shared" si="39"/>
        <v>45653</v>
      </c>
      <c r="AE182" s="177">
        <f t="shared" si="33"/>
        <v>111</v>
      </c>
      <c r="AF182" s="177">
        <f t="shared" si="34"/>
        <v>111</v>
      </c>
      <c r="AG182" s="177">
        <f t="shared" si="35"/>
        <v>103</v>
      </c>
      <c r="AH182" s="177">
        <f t="shared" si="36"/>
        <v>103</v>
      </c>
      <c r="AI182" s="177">
        <f t="shared" si="37"/>
        <v>103</v>
      </c>
    </row>
    <row r="183" spans="15:35" x14ac:dyDescent="0.25">
      <c r="O183" s="180">
        <f t="shared" si="38"/>
        <v>45654</v>
      </c>
      <c r="P183" s="181">
        <f t="shared" si="31"/>
        <v>7</v>
      </c>
      <c r="R183" s="26"/>
      <c r="S183" s="26"/>
      <c r="T183" s="26"/>
      <c r="U183" s="26"/>
      <c r="V183" s="180">
        <f t="shared" si="32"/>
        <v>45654</v>
      </c>
      <c r="W183" s="181">
        <f t="shared" si="30"/>
        <v>7</v>
      </c>
      <c r="AD183" s="180">
        <f t="shared" si="39"/>
        <v>45654</v>
      </c>
      <c r="AE183" s="177">
        <f t="shared" si="33"/>
        <v>111</v>
      </c>
      <c r="AF183" s="177">
        <f t="shared" si="34"/>
        <v>111</v>
      </c>
      <c r="AG183" s="177">
        <f t="shared" si="35"/>
        <v>103</v>
      </c>
      <c r="AH183" s="177">
        <f t="shared" si="36"/>
        <v>103</v>
      </c>
      <c r="AI183" s="177">
        <f t="shared" si="37"/>
        <v>103</v>
      </c>
    </row>
    <row r="184" spans="15:35" x14ac:dyDescent="0.25">
      <c r="O184" s="180">
        <f t="shared" si="38"/>
        <v>45655</v>
      </c>
      <c r="P184" s="181">
        <f t="shared" si="31"/>
        <v>1</v>
      </c>
      <c r="R184" s="26"/>
      <c r="S184" s="26"/>
      <c r="T184" s="26"/>
      <c r="U184" s="26"/>
      <c r="V184" s="180">
        <f t="shared" si="32"/>
        <v>45655</v>
      </c>
      <c r="W184" s="181">
        <f t="shared" si="30"/>
        <v>1</v>
      </c>
      <c r="AD184" s="180">
        <f t="shared" si="39"/>
        <v>45655</v>
      </c>
      <c r="AE184" s="177">
        <f t="shared" si="33"/>
        <v>111</v>
      </c>
      <c r="AF184" s="177">
        <f t="shared" si="34"/>
        <v>111</v>
      </c>
      <c r="AG184" s="177">
        <f t="shared" si="35"/>
        <v>103</v>
      </c>
      <c r="AH184" s="177">
        <f t="shared" si="36"/>
        <v>103</v>
      </c>
      <c r="AI184" s="177">
        <f t="shared" si="37"/>
        <v>103</v>
      </c>
    </row>
    <row r="185" spans="15:35" x14ac:dyDescent="0.25">
      <c r="O185" s="180">
        <f t="shared" si="38"/>
        <v>45656</v>
      </c>
      <c r="P185" s="181">
        <f t="shared" si="31"/>
        <v>2</v>
      </c>
      <c r="Q185" s="26" t="s">
        <v>83</v>
      </c>
      <c r="R185" s="26" t="s">
        <v>83</v>
      </c>
      <c r="S185" s="26" t="s">
        <v>83</v>
      </c>
      <c r="T185" s="26" t="s">
        <v>83</v>
      </c>
      <c r="U185" s="26" t="s">
        <v>83</v>
      </c>
      <c r="V185" s="180">
        <f t="shared" si="32"/>
        <v>45656</v>
      </c>
      <c r="W185" s="181">
        <f t="shared" si="30"/>
        <v>2</v>
      </c>
      <c r="AD185" s="180">
        <f t="shared" si="39"/>
        <v>45656</v>
      </c>
      <c r="AE185" s="177">
        <f t="shared" si="33"/>
        <v>111</v>
      </c>
      <c r="AF185" s="177">
        <f t="shared" si="34"/>
        <v>111</v>
      </c>
      <c r="AG185" s="177">
        <f t="shared" si="35"/>
        <v>103</v>
      </c>
      <c r="AH185" s="177">
        <f t="shared" si="36"/>
        <v>103</v>
      </c>
      <c r="AI185" s="177">
        <f t="shared" si="37"/>
        <v>103</v>
      </c>
    </row>
    <row r="186" spans="15:35" x14ac:dyDescent="0.25">
      <c r="O186" s="180">
        <f t="shared" si="38"/>
        <v>45657</v>
      </c>
      <c r="P186" s="181">
        <f t="shared" si="31"/>
        <v>3</v>
      </c>
      <c r="Q186" s="26" t="s">
        <v>83</v>
      </c>
      <c r="R186" s="26" t="s">
        <v>83</v>
      </c>
      <c r="S186" s="26" t="s">
        <v>83</v>
      </c>
      <c r="T186" s="26" t="s">
        <v>83</v>
      </c>
      <c r="U186" s="26" t="s">
        <v>83</v>
      </c>
      <c r="V186" s="180">
        <f t="shared" si="32"/>
        <v>45657</v>
      </c>
      <c r="W186" s="181">
        <f t="shared" si="30"/>
        <v>3</v>
      </c>
      <c r="AD186" s="180">
        <f t="shared" si="39"/>
        <v>45657</v>
      </c>
      <c r="AE186" s="177">
        <f t="shared" si="33"/>
        <v>111</v>
      </c>
      <c r="AF186" s="177">
        <f t="shared" si="34"/>
        <v>111</v>
      </c>
      <c r="AG186" s="177">
        <f t="shared" si="35"/>
        <v>103</v>
      </c>
      <c r="AH186" s="177">
        <f t="shared" si="36"/>
        <v>103</v>
      </c>
      <c r="AI186" s="177">
        <f t="shared" si="37"/>
        <v>103</v>
      </c>
    </row>
    <row r="187" spans="15:35" x14ac:dyDescent="0.25">
      <c r="O187" s="180">
        <f t="shared" si="38"/>
        <v>45658</v>
      </c>
      <c r="P187" s="181">
        <f t="shared" si="31"/>
        <v>4</v>
      </c>
      <c r="Q187" s="26" t="s">
        <v>83</v>
      </c>
      <c r="R187" s="26" t="s">
        <v>83</v>
      </c>
      <c r="S187" s="26" t="s">
        <v>83</v>
      </c>
      <c r="T187" s="26" t="s">
        <v>83</v>
      </c>
      <c r="U187" s="26" t="s">
        <v>83</v>
      </c>
      <c r="V187" s="180">
        <f t="shared" si="32"/>
        <v>45658</v>
      </c>
      <c r="W187" s="181">
        <f t="shared" si="30"/>
        <v>4</v>
      </c>
      <c r="AD187" s="180">
        <f t="shared" si="39"/>
        <v>45658</v>
      </c>
      <c r="AE187" s="177">
        <f t="shared" si="33"/>
        <v>111</v>
      </c>
      <c r="AF187" s="177">
        <f t="shared" si="34"/>
        <v>111</v>
      </c>
      <c r="AG187" s="177">
        <f t="shared" si="35"/>
        <v>103</v>
      </c>
      <c r="AH187" s="177">
        <f t="shared" si="36"/>
        <v>103</v>
      </c>
      <c r="AI187" s="177">
        <f t="shared" si="37"/>
        <v>103</v>
      </c>
    </row>
    <row r="188" spans="15:35" x14ac:dyDescent="0.25">
      <c r="O188" s="180">
        <f t="shared" si="38"/>
        <v>45659</v>
      </c>
      <c r="P188" s="181">
        <f t="shared" si="31"/>
        <v>5</v>
      </c>
      <c r="Q188" s="26" t="s">
        <v>83</v>
      </c>
      <c r="R188" s="26" t="s">
        <v>83</v>
      </c>
      <c r="S188" s="26" t="s">
        <v>83</v>
      </c>
      <c r="T188" s="26" t="s">
        <v>83</v>
      </c>
      <c r="U188" s="26" t="s">
        <v>83</v>
      </c>
      <c r="V188" s="180">
        <f t="shared" si="32"/>
        <v>45659</v>
      </c>
      <c r="W188" s="181">
        <f t="shared" si="30"/>
        <v>5</v>
      </c>
      <c r="AD188" s="180">
        <f t="shared" si="39"/>
        <v>45659</v>
      </c>
      <c r="AE188" s="177">
        <f t="shared" si="33"/>
        <v>111</v>
      </c>
      <c r="AF188" s="177">
        <f t="shared" si="34"/>
        <v>111</v>
      </c>
      <c r="AG188" s="177">
        <f t="shared" si="35"/>
        <v>103</v>
      </c>
      <c r="AH188" s="177">
        <f t="shared" si="36"/>
        <v>103</v>
      </c>
      <c r="AI188" s="177">
        <f t="shared" si="37"/>
        <v>103</v>
      </c>
    </row>
    <row r="189" spans="15:35" x14ac:dyDescent="0.25">
      <c r="O189" s="180">
        <f t="shared" si="38"/>
        <v>45660</v>
      </c>
      <c r="P189" s="181">
        <f t="shared" si="31"/>
        <v>6</v>
      </c>
      <c r="Q189" s="26" t="s">
        <v>83</v>
      </c>
      <c r="R189" s="26" t="s">
        <v>83</v>
      </c>
      <c r="S189" s="26" t="s">
        <v>83</v>
      </c>
      <c r="T189" s="26" t="s">
        <v>83</v>
      </c>
      <c r="U189" s="26" t="s">
        <v>83</v>
      </c>
      <c r="V189" s="180">
        <f t="shared" si="32"/>
        <v>45660</v>
      </c>
      <c r="W189" s="181">
        <f t="shared" si="30"/>
        <v>6</v>
      </c>
      <c r="AD189" s="180">
        <f t="shared" si="39"/>
        <v>45660</v>
      </c>
      <c r="AE189" s="177">
        <f t="shared" si="33"/>
        <v>111</v>
      </c>
      <c r="AF189" s="177">
        <f t="shared" si="34"/>
        <v>111</v>
      </c>
      <c r="AG189" s="177">
        <f t="shared" si="35"/>
        <v>103</v>
      </c>
      <c r="AH189" s="177">
        <f t="shared" si="36"/>
        <v>103</v>
      </c>
      <c r="AI189" s="177">
        <f t="shared" si="37"/>
        <v>103</v>
      </c>
    </row>
    <row r="190" spans="15:35" x14ac:dyDescent="0.25">
      <c r="O190" s="180">
        <f t="shared" si="38"/>
        <v>45661</v>
      </c>
      <c r="P190" s="181">
        <f t="shared" si="31"/>
        <v>7</v>
      </c>
      <c r="Q190" s="26" t="str">
        <f t="shared" ref="Q190:T239" si="43">IF(OR($P190=2,$P190=3,$P190=4,$P190=5,$P190=6),1,"")</f>
        <v/>
      </c>
      <c r="R190" s="26" t="str">
        <f t="shared" si="43"/>
        <v/>
      </c>
      <c r="S190" s="26" t="str">
        <f t="shared" si="43"/>
        <v/>
      </c>
      <c r="T190" s="26" t="str">
        <f t="shared" si="43"/>
        <v/>
      </c>
      <c r="U190" s="26" t="str">
        <f t="shared" ref="U190:U200" si="44">IF(OR($P190=2,$P190=3,$P190=4,$P190=5,$P190=6),1,"")</f>
        <v/>
      </c>
      <c r="V190" s="180">
        <f t="shared" si="32"/>
        <v>45661</v>
      </c>
      <c r="W190" s="181">
        <f t="shared" si="30"/>
        <v>7</v>
      </c>
      <c r="AD190" s="180">
        <f t="shared" si="39"/>
        <v>45661</v>
      </c>
      <c r="AE190" s="177">
        <f t="shared" si="33"/>
        <v>111</v>
      </c>
      <c r="AF190" s="177">
        <f t="shared" si="34"/>
        <v>111</v>
      </c>
      <c r="AG190" s="177">
        <f t="shared" si="35"/>
        <v>103</v>
      </c>
      <c r="AH190" s="177">
        <f t="shared" si="36"/>
        <v>103</v>
      </c>
      <c r="AI190" s="177">
        <f t="shared" si="37"/>
        <v>103</v>
      </c>
    </row>
    <row r="191" spans="15:35" x14ac:dyDescent="0.25">
      <c r="O191" s="180">
        <f t="shared" si="38"/>
        <v>45662</v>
      </c>
      <c r="P191" s="181">
        <f t="shared" si="31"/>
        <v>1</v>
      </c>
      <c r="Q191" s="26" t="str">
        <f t="shared" si="43"/>
        <v/>
      </c>
      <c r="R191" s="26" t="str">
        <f t="shared" si="43"/>
        <v/>
      </c>
      <c r="S191" s="26" t="str">
        <f t="shared" si="43"/>
        <v/>
      </c>
      <c r="T191" s="26" t="str">
        <f t="shared" si="43"/>
        <v/>
      </c>
      <c r="U191" s="26" t="str">
        <f t="shared" si="44"/>
        <v/>
      </c>
      <c r="V191" s="180">
        <f t="shared" si="32"/>
        <v>45662</v>
      </c>
      <c r="W191" s="181">
        <f t="shared" si="30"/>
        <v>1</v>
      </c>
      <c r="AD191" s="180">
        <f t="shared" si="39"/>
        <v>45662</v>
      </c>
      <c r="AE191" s="177">
        <f t="shared" si="33"/>
        <v>111</v>
      </c>
      <c r="AF191" s="177">
        <f t="shared" si="34"/>
        <v>111</v>
      </c>
      <c r="AG191" s="177">
        <f t="shared" si="35"/>
        <v>103</v>
      </c>
      <c r="AH191" s="177">
        <f t="shared" si="36"/>
        <v>103</v>
      </c>
      <c r="AI191" s="177">
        <f t="shared" si="37"/>
        <v>103</v>
      </c>
    </row>
    <row r="192" spans="15:35" x14ac:dyDescent="0.25">
      <c r="O192" s="180">
        <f t="shared" si="38"/>
        <v>45663</v>
      </c>
      <c r="P192" s="181">
        <f t="shared" si="31"/>
        <v>2</v>
      </c>
      <c r="Q192" s="26">
        <f t="shared" si="43"/>
        <v>1</v>
      </c>
      <c r="R192" s="26">
        <f t="shared" si="43"/>
        <v>1</v>
      </c>
      <c r="S192" s="26">
        <f t="shared" si="43"/>
        <v>1</v>
      </c>
      <c r="T192" s="26">
        <f t="shared" si="43"/>
        <v>1</v>
      </c>
      <c r="U192" s="26">
        <f t="shared" si="44"/>
        <v>1</v>
      </c>
      <c r="V192" s="180">
        <f t="shared" si="32"/>
        <v>45663</v>
      </c>
      <c r="W192" s="181">
        <f t="shared" si="30"/>
        <v>2</v>
      </c>
      <c r="AC192" t="s">
        <v>13</v>
      </c>
      <c r="AD192" s="180">
        <f t="shared" si="39"/>
        <v>45663</v>
      </c>
      <c r="AE192" s="177">
        <f t="shared" si="33"/>
        <v>110</v>
      </c>
      <c r="AF192" s="177">
        <f t="shared" si="34"/>
        <v>110</v>
      </c>
      <c r="AG192" s="177">
        <f t="shared" si="35"/>
        <v>102</v>
      </c>
      <c r="AH192" s="177">
        <f t="shared" si="36"/>
        <v>102</v>
      </c>
      <c r="AI192" s="177">
        <f t="shared" si="37"/>
        <v>102</v>
      </c>
    </row>
    <row r="193" spans="15:35" x14ac:dyDescent="0.25">
      <c r="O193" s="180">
        <f t="shared" si="38"/>
        <v>45664</v>
      </c>
      <c r="P193" s="181">
        <f t="shared" si="31"/>
        <v>3</v>
      </c>
      <c r="Q193" s="26">
        <f t="shared" si="43"/>
        <v>1</v>
      </c>
      <c r="R193" s="26">
        <f t="shared" si="43"/>
        <v>1</v>
      </c>
      <c r="S193" s="26">
        <f t="shared" si="43"/>
        <v>1</v>
      </c>
      <c r="T193" s="26">
        <f t="shared" si="43"/>
        <v>1</v>
      </c>
      <c r="U193" s="26">
        <f t="shared" si="44"/>
        <v>1</v>
      </c>
      <c r="V193" s="180">
        <f t="shared" si="32"/>
        <v>45664</v>
      </c>
      <c r="W193" s="181">
        <f t="shared" si="30"/>
        <v>3</v>
      </c>
      <c r="AC193" t="s">
        <v>410</v>
      </c>
      <c r="AD193" s="180">
        <f t="shared" si="39"/>
        <v>45664</v>
      </c>
      <c r="AE193" s="177">
        <f t="shared" si="33"/>
        <v>109</v>
      </c>
      <c r="AF193" s="177">
        <f t="shared" si="34"/>
        <v>109</v>
      </c>
      <c r="AG193" s="177">
        <f t="shared" si="35"/>
        <v>101</v>
      </c>
      <c r="AH193" s="177">
        <f t="shared" si="36"/>
        <v>101</v>
      </c>
      <c r="AI193" s="177">
        <f t="shared" si="37"/>
        <v>101</v>
      </c>
    </row>
    <row r="194" spans="15:35" x14ac:dyDescent="0.25">
      <c r="O194" s="180">
        <f t="shared" si="38"/>
        <v>45665</v>
      </c>
      <c r="P194" s="181">
        <f t="shared" si="31"/>
        <v>4</v>
      </c>
      <c r="Q194" s="26">
        <f t="shared" si="43"/>
        <v>1</v>
      </c>
      <c r="R194" s="26">
        <f t="shared" si="43"/>
        <v>1</v>
      </c>
      <c r="S194" s="26">
        <f t="shared" si="43"/>
        <v>1</v>
      </c>
      <c r="T194" s="26">
        <f t="shared" si="43"/>
        <v>1</v>
      </c>
      <c r="U194" s="26">
        <f t="shared" si="44"/>
        <v>1</v>
      </c>
      <c r="V194" s="180">
        <f t="shared" si="32"/>
        <v>45665</v>
      </c>
      <c r="W194" s="181">
        <f t="shared" si="30"/>
        <v>4</v>
      </c>
      <c r="AC194" t="s">
        <v>13</v>
      </c>
      <c r="AD194" s="180">
        <f t="shared" si="39"/>
        <v>45665</v>
      </c>
      <c r="AE194" s="177">
        <f t="shared" si="33"/>
        <v>108</v>
      </c>
      <c r="AF194" s="177">
        <f t="shared" si="34"/>
        <v>108</v>
      </c>
      <c r="AG194" s="177">
        <f t="shared" si="35"/>
        <v>100</v>
      </c>
      <c r="AH194" s="177">
        <f t="shared" si="36"/>
        <v>100</v>
      </c>
      <c r="AI194" s="177">
        <f t="shared" si="37"/>
        <v>100</v>
      </c>
    </row>
    <row r="195" spans="15:35" x14ac:dyDescent="0.25">
      <c r="O195" s="180">
        <f t="shared" si="38"/>
        <v>45666</v>
      </c>
      <c r="P195" s="181">
        <f t="shared" si="31"/>
        <v>5</v>
      </c>
      <c r="Q195" s="26">
        <f t="shared" si="43"/>
        <v>1</v>
      </c>
      <c r="R195" s="26">
        <f t="shared" si="43"/>
        <v>1</v>
      </c>
      <c r="S195" s="26">
        <f t="shared" si="43"/>
        <v>1</v>
      </c>
      <c r="T195" s="26">
        <f t="shared" si="43"/>
        <v>1</v>
      </c>
      <c r="U195" s="26">
        <f t="shared" si="44"/>
        <v>1</v>
      </c>
      <c r="V195" s="180">
        <f t="shared" si="32"/>
        <v>45666</v>
      </c>
      <c r="W195" s="181">
        <f t="shared" ref="W195:W258" si="45">WEEKDAY(V195)</f>
        <v>5</v>
      </c>
      <c r="AC195" t="s">
        <v>410</v>
      </c>
      <c r="AD195" s="180">
        <f t="shared" si="39"/>
        <v>45666</v>
      </c>
      <c r="AE195" s="177">
        <f t="shared" si="33"/>
        <v>107</v>
      </c>
      <c r="AF195" s="177">
        <f t="shared" si="34"/>
        <v>107</v>
      </c>
      <c r="AG195" s="177">
        <f t="shared" si="35"/>
        <v>99</v>
      </c>
      <c r="AH195" s="177">
        <f t="shared" si="36"/>
        <v>99</v>
      </c>
      <c r="AI195" s="177">
        <f t="shared" si="37"/>
        <v>99</v>
      </c>
    </row>
    <row r="196" spans="15:35" x14ac:dyDescent="0.25">
      <c r="O196" s="180">
        <f t="shared" si="38"/>
        <v>45667</v>
      </c>
      <c r="P196" s="181">
        <f t="shared" ref="P196:P259" si="46">WEEKDAY(O196)</f>
        <v>6</v>
      </c>
      <c r="Q196" s="26">
        <f t="shared" si="43"/>
        <v>1</v>
      </c>
      <c r="R196" s="26">
        <f t="shared" si="43"/>
        <v>1</v>
      </c>
      <c r="S196" s="26">
        <f t="shared" si="43"/>
        <v>1</v>
      </c>
      <c r="T196" s="26">
        <f t="shared" si="43"/>
        <v>1</v>
      </c>
      <c r="U196" s="26">
        <f t="shared" si="44"/>
        <v>1</v>
      </c>
      <c r="V196" s="180">
        <f t="shared" ref="V196:V259" si="47">V195+1</f>
        <v>45667</v>
      </c>
      <c r="W196" s="181">
        <f t="shared" si="45"/>
        <v>6</v>
      </c>
      <c r="AC196" t="s">
        <v>13</v>
      </c>
      <c r="AD196" s="180">
        <f t="shared" si="39"/>
        <v>45667</v>
      </c>
      <c r="AE196" s="177">
        <f t="shared" si="33"/>
        <v>106</v>
      </c>
      <c r="AF196" s="177">
        <f t="shared" si="34"/>
        <v>106</v>
      </c>
      <c r="AG196" s="177">
        <f t="shared" si="35"/>
        <v>98</v>
      </c>
      <c r="AH196" s="177">
        <f t="shared" si="36"/>
        <v>98</v>
      </c>
      <c r="AI196" s="177">
        <f t="shared" si="37"/>
        <v>98</v>
      </c>
    </row>
    <row r="197" spans="15:35" x14ac:dyDescent="0.25">
      <c r="O197" s="180">
        <f t="shared" si="38"/>
        <v>45668</v>
      </c>
      <c r="P197" s="181">
        <f t="shared" si="46"/>
        <v>7</v>
      </c>
      <c r="Q197" s="26" t="str">
        <f t="shared" si="43"/>
        <v/>
      </c>
      <c r="R197" s="26" t="str">
        <f t="shared" si="43"/>
        <v/>
      </c>
      <c r="S197" s="26" t="str">
        <f t="shared" si="43"/>
        <v/>
      </c>
      <c r="T197" s="26" t="str">
        <f t="shared" si="43"/>
        <v/>
      </c>
      <c r="U197" s="26" t="str">
        <f t="shared" si="44"/>
        <v/>
      </c>
      <c r="V197" s="180">
        <f t="shared" si="47"/>
        <v>45668</v>
      </c>
      <c r="W197" s="181">
        <f t="shared" si="45"/>
        <v>7</v>
      </c>
      <c r="AD197" s="180">
        <f t="shared" si="39"/>
        <v>45668</v>
      </c>
      <c r="AE197" s="177">
        <f t="shared" ref="AE197:AE260" si="48">AE196-(IF(Q197=1,1,0))</f>
        <v>106</v>
      </c>
      <c r="AF197" s="177">
        <f t="shared" ref="AF197:AF260" si="49">AF196-(IF(R197=1,1,0))</f>
        <v>106</v>
      </c>
      <c r="AG197" s="177">
        <f t="shared" ref="AG197:AG260" si="50">AG196-(IF(S197=1,1,0))</f>
        <v>98</v>
      </c>
      <c r="AH197" s="177">
        <f t="shared" ref="AH197:AH260" si="51">AH196-(IF(T197=1,1,0))</f>
        <v>98</v>
      </c>
      <c r="AI197" s="177">
        <f t="shared" ref="AI197:AI260" si="52">AI196-(IF(U197=1,1,0))</f>
        <v>98</v>
      </c>
    </row>
    <row r="198" spans="15:35" x14ac:dyDescent="0.25">
      <c r="O198" s="180">
        <f t="shared" ref="O198:O261" si="53">O197+1</f>
        <v>45669</v>
      </c>
      <c r="P198" s="181">
        <f t="shared" si="46"/>
        <v>1</v>
      </c>
      <c r="Q198" s="26" t="str">
        <f t="shared" si="43"/>
        <v/>
      </c>
      <c r="R198" s="26" t="str">
        <f t="shared" si="43"/>
        <v/>
      </c>
      <c r="S198" s="26" t="str">
        <f t="shared" si="43"/>
        <v/>
      </c>
      <c r="T198" s="26" t="str">
        <f t="shared" si="43"/>
        <v/>
      </c>
      <c r="U198" s="26" t="str">
        <f t="shared" si="44"/>
        <v/>
      </c>
      <c r="V198" s="180">
        <f t="shared" si="47"/>
        <v>45669</v>
      </c>
      <c r="W198" s="181">
        <f t="shared" si="45"/>
        <v>1</v>
      </c>
      <c r="AD198" s="180">
        <f t="shared" ref="AD198:AD261" si="54">AD197+1</f>
        <v>45669</v>
      </c>
      <c r="AE198" s="177">
        <f t="shared" si="48"/>
        <v>106</v>
      </c>
      <c r="AF198" s="177">
        <f t="shared" si="49"/>
        <v>106</v>
      </c>
      <c r="AG198" s="177">
        <f t="shared" si="50"/>
        <v>98</v>
      </c>
      <c r="AH198" s="177">
        <f t="shared" si="51"/>
        <v>98</v>
      </c>
      <c r="AI198" s="177">
        <f t="shared" si="52"/>
        <v>98</v>
      </c>
    </row>
    <row r="199" spans="15:35" x14ac:dyDescent="0.25">
      <c r="O199" s="180">
        <f t="shared" si="53"/>
        <v>45670</v>
      </c>
      <c r="P199" s="181">
        <f t="shared" si="46"/>
        <v>2</v>
      </c>
      <c r="Q199" s="26">
        <f t="shared" si="43"/>
        <v>1</v>
      </c>
      <c r="R199" s="26">
        <f t="shared" si="43"/>
        <v>1</v>
      </c>
      <c r="S199" s="26">
        <f t="shared" si="43"/>
        <v>1</v>
      </c>
      <c r="T199" s="26">
        <f t="shared" si="43"/>
        <v>1</v>
      </c>
      <c r="U199" s="26">
        <f t="shared" si="44"/>
        <v>1</v>
      </c>
      <c r="V199" s="180">
        <f t="shared" si="47"/>
        <v>45670</v>
      </c>
      <c r="W199" s="181">
        <f t="shared" si="45"/>
        <v>2</v>
      </c>
      <c r="AC199" t="s">
        <v>410</v>
      </c>
      <c r="AD199" s="180">
        <f t="shared" si="54"/>
        <v>45670</v>
      </c>
      <c r="AE199" s="177">
        <f t="shared" si="48"/>
        <v>105</v>
      </c>
      <c r="AF199" s="177">
        <f t="shared" si="49"/>
        <v>105</v>
      </c>
      <c r="AG199" s="177">
        <f t="shared" si="50"/>
        <v>97</v>
      </c>
      <c r="AH199" s="177">
        <f t="shared" si="51"/>
        <v>97</v>
      </c>
      <c r="AI199" s="177">
        <f t="shared" si="52"/>
        <v>97</v>
      </c>
    </row>
    <row r="200" spans="15:35" x14ac:dyDescent="0.25">
      <c r="O200" s="180">
        <f t="shared" si="53"/>
        <v>45671</v>
      </c>
      <c r="P200" s="181">
        <f t="shared" si="46"/>
        <v>3</v>
      </c>
      <c r="Q200" s="26">
        <f t="shared" si="43"/>
        <v>1</v>
      </c>
      <c r="R200" s="26">
        <f t="shared" si="43"/>
        <v>1</v>
      </c>
      <c r="S200" s="26">
        <f t="shared" si="43"/>
        <v>1</v>
      </c>
      <c r="T200" s="26">
        <f t="shared" si="43"/>
        <v>1</v>
      </c>
      <c r="U200" s="26">
        <f t="shared" si="44"/>
        <v>1</v>
      </c>
      <c r="V200" s="180">
        <f t="shared" si="47"/>
        <v>45671</v>
      </c>
      <c r="W200" s="181">
        <f t="shared" si="45"/>
        <v>3</v>
      </c>
      <c r="AC200" t="s">
        <v>13</v>
      </c>
      <c r="AD200" s="180">
        <f t="shared" si="54"/>
        <v>45671</v>
      </c>
      <c r="AE200" s="177">
        <f t="shared" si="48"/>
        <v>104</v>
      </c>
      <c r="AF200" s="177">
        <f t="shared" si="49"/>
        <v>104</v>
      </c>
      <c r="AG200" s="177">
        <f t="shared" si="50"/>
        <v>96</v>
      </c>
      <c r="AH200" s="177">
        <f t="shared" si="51"/>
        <v>96</v>
      </c>
      <c r="AI200" s="177">
        <f t="shared" si="52"/>
        <v>96</v>
      </c>
    </row>
    <row r="201" spans="15:35" x14ac:dyDescent="0.25">
      <c r="O201" s="180">
        <f t="shared" si="53"/>
        <v>45672</v>
      </c>
      <c r="P201" s="181">
        <f t="shared" si="46"/>
        <v>4</v>
      </c>
      <c r="Q201" s="26">
        <v>1</v>
      </c>
      <c r="R201" s="26">
        <v>1</v>
      </c>
      <c r="S201" s="26">
        <v>1</v>
      </c>
      <c r="T201" s="26">
        <v>1</v>
      </c>
      <c r="U201" s="26">
        <v>1</v>
      </c>
      <c r="V201" s="180">
        <f t="shared" si="47"/>
        <v>45672</v>
      </c>
      <c r="W201" s="181">
        <f t="shared" si="45"/>
        <v>4</v>
      </c>
      <c r="AC201" t="s">
        <v>410</v>
      </c>
      <c r="AD201" s="180">
        <f t="shared" si="54"/>
        <v>45672</v>
      </c>
      <c r="AE201" s="177">
        <f t="shared" si="48"/>
        <v>103</v>
      </c>
      <c r="AF201" s="177">
        <f t="shared" si="49"/>
        <v>103</v>
      </c>
      <c r="AG201" s="177">
        <f t="shared" si="50"/>
        <v>95</v>
      </c>
      <c r="AH201" s="177">
        <f t="shared" si="51"/>
        <v>95</v>
      </c>
      <c r="AI201" s="177">
        <f t="shared" si="52"/>
        <v>95</v>
      </c>
    </row>
    <row r="202" spans="15:35" x14ac:dyDescent="0.25">
      <c r="O202" s="180">
        <f t="shared" si="53"/>
        <v>45673</v>
      </c>
      <c r="P202" s="181">
        <f t="shared" si="46"/>
        <v>5</v>
      </c>
      <c r="Q202" s="26">
        <v>1</v>
      </c>
      <c r="R202" s="26">
        <f t="shared" si="43"/>
        <v>1</v>
      </c>
      <c r="S202" s="26">
        <v>1</v>
      </c>
      <c r="T202" s="26">
        <v>1</v>
      </c>
      <c r="U202" s="26">
        <v>1</v>
      </c>
      <c r="V202" s="180">
        <f t="shared" si="47"/>
        <v>45673</v>
      </c>
      <c r="W202" s="181">
        <f t="shared" si="45"/>
        <v>5</v>
      </c>
      <c r="AC202" t="s">
        <v>13</v>
      </c>
      <c r="AD202" s="180">
        <f t="shared" si="54"/>
        <v>45673</v>
      </c>
      <c r="AE202" s="177">
        <f t="shared" si="48"/>
        <v>102</v>
      </c>
      <c r="AF202" s="177">
        <f t="shared" si="49"/>
        <v>102</v>
      </c>
      <c r="AG202" s="177">
        <f t="shared" si="50"/>
        <v>94</v>
      </c>
      <c r="AH202" s="177">
        <f t="shared" si="51"/>
        <v>94</v>
      </c>
      <c r="AI202" s="177">
        <f t="shared" si="52"/>
        <v>94</v>
      </c>
    </row>
    <row r="203" spans="15:35" x14ac:dyDescent="0.25">
      <c r="O203" s="180">
        <f t="shared" si="53"/>
        <v>45674</v>
      </c>
      <c r="P203" s="181">
        <f t="shared" si="46"/>
        <v>6</v>
      </c>
      <c r="Q203" s="26">
        <f t="shared" si="43"/>
        <v>1</v>
      </c>
      <c r="R203" s="26">
        <f t="shared" si="43"/>
        <v>1</v>
      </c>
      <c r="S203" s="26">
        <f t="shared" si="43"/>
        <v>1</v>
      </c>
      <c r="T203" s="26">
        <f t="shared" si="43"/>
        <v>1</v>
      </c>
      <c r="U203" s="26">
        <f t="shared" ref="U203:U235" si="55">IF(OR($P203=2,$P203=3,$P203=4,$P203=5,$P203=6),1,"")</f>
        <v>1</v>
      </c>
      <c r="V203" s="180">
        <f t="shared" si="47"/>
        <v>45674</v>
      </c>
      <c r="W203" s="181">
        <f t="shared" si="45"/>
        <v>6</v>
      </c>
      <c r="AC203" t="s">
        <v>410</v>
      </c>
      <c r="AD203" s="180">
        <f t="shared" si="54"/>
        <v>45674</v>
      </c>
      <c r="AE203" s="177">
        <f t="shared" si="48"/>
        <v>101</v>
      </c>
      <c r="AF203" s="177">
        <f t="shared" si="49"/>
        <v>101</v>
      </c>
      <c r="AG203" s="177">
        <f t="shared" si="50"/>
        <v>93</v>
      </c>
      <c r="AH203" s="177">
        <f t="shared" si="51"/>
        <v>93</v>
      </c>
      <c r="AI203" s="177">
        <f t="shared" si="52"/>
        <v>93</v>
      </c>
    </row>
    <row r="204" spans="15:35" x14ac:dyDescent="0.25">
      <c r="O204" s="180">
        <f t="shared" si="53"/>
        <v>45675</v>
      </c>
      <c r="P204" s="181">
        <f t="shared" si="46"/>
        <v>7</v>
      </c>
      <c r="Q204" s="26" t="str">
        <f t="shared" si="43"/>
        <v/>
      </c>
      <c r="R204" s="26" t="str">
        <f t="shared" si="43"/>
        <v/>
      </c>
      <c r="S204" s="26" t="str">
        <f t="shared" si="43"/>
        <v/>
      </c>
      <c r="T204" s="26" t="str">
        <f t="shared" si="43"/>
        <v/>
      </c>
      <c r="U204" s="26" t="str">
        <f t="shared" si="55"/>
        <v/>
      </c>
      <c r="V204" s="180">
        <f t="shared" si="47"/>
        <v>45675</v>
      </c>
      <c r="W204" s="181">
        <f t="shared" si="45"/>
        <v>7</v>
      </c>
      <c r="AD204" s="180">
        <f t="shared" si="54"/>
        <v>45675</v>
      </c>
      <c r="AE204" s="177">
        <f t="shared" si="48"/>
        <v>101</v>
      </c>
      <c r="AF204" s="177">
        <f t="shared" si="49"/>
        <v>101</v>
      </c>
      <c r="AG204" s="177">
        <f t="shared" si="50"/>
        <v>93</v>
      </c>
      <c r="AH204" s="177">
        <f t="shared" si="51"/>
        <v>93</v>
      </c>
      <c r="AI204" s="177">
        <f t="shared" si="52"/>
        <v>93</v>
      </c>
    </row>
    <row r="205" spans="15:35" x14ac:dyDescent="0.25">
      <c r="O205" s="180">
        <f t="shared" si="53"/>
        <v>45676</v>
      </c>
      <c r="P205" s="181">
        <f t="shared" si="46"/>
        <v>1</v>
      </c>
      <c r="Q205" s="26" t="str">
        <f t="shared" si="43"/>
        <v/>
      </c>
      <c r="R205" s="26" t="str">
        <f t="shared" si="43"/>
        <v/>
      </c>
      <c r="S205" s="26" t="str">
        <f t="shared" si="43"/>
        <v/>
      </c>
      <c r="T205" s="26" t="str">
        <f t="shared" si="43"/>
        <v/>
      </c>
      <c r="U205" s="26" t="str">
        <f t="shared" si="55"/>
        <v/>
      </c>
      <c r="V205" s="180">
        <f t="shared" si="47"/>
        <v>45676</v>
      </c>
      <c r="W205" s="181">
        <f t="shared" si="45"/>
        <v>1</v>
      </c>
      <c r="AD205" s="180">
        <f t="shared" si="54"/>
        <v>45676</v>
      </c>
      <c r="AE205" s="177">
        <f t="shared" si="48"/>
        <v>101</v>
      </c>
      <c r="AF205" s="177">
        <f t="shared" si="49"/>
        <v>101</v>
      </c>
      <c r="AG205" s="177">
        <f t="shared" si="50"/>
        <v>93</v>
      </c>
      <c r="AH205" s="177">
        <f t="shared" si="51"/>
        <v>93</v>
      </c>
      <c r="AI205" s="177">
        <f t="shared" si="52"/>
        <v>93</v>
      </c>
    </row>
    <row r="206" spans="15:35" x14ac:dyDescent="0.25">
      <c r="O206" s="180">
        <f t="shared" si="53"/>
        <v>45677</v>
      </c>
      <c r="P206" s="181">
        <f t="shared" si="46"/>
        <v>2</v>
      </c>
      <c r="Q206" s="26" t="s">
        <v>83</v>
      </c>
      <c r="R206" s="26" t="s">
        <v>83</v>
      </c>
      <c r="S206" s="26" t="s">
        <v>83</v>
      </c>
      <c r="T206" s="26" t="s">
        <v>83</v>
      </c>
      <c r="U206" s="26" t="s">
        <v>83</v>
      </c>
      <c r="V206" s="180">
        <f t="shared" si="47"/>
        <v>45677</v>
      </c>
      <c r="W206" s="181">
        <f t="shared" si="45"/>
        <v>2</v>
      </c>
      <c r="AD206" s="180">
        <f t="shared" si="54"/>
        <v>45677</v>
      </c>
      <c r="AE206" s="177">
        <f t="shared" si="48"/>
        <v>101</v>
      </c>
      <c r="AF206" s="177">
        <f t="shared" si="49"/>
        <v>101</v>
      </c>
      <c r="AG206" s="177">
        <f t="shared" si="50"/>
        <v>93</v>
      </c>
      <c r="AH206" s="177">
        <f t="shared" si="51"/>
        <v>93</v>
      </c>
      <c r="AI206" s="177">
        <f t="shared" si="52"/>
        <v>93</v>
      </c>
    </row>
    <row r="207" spans="15:35" x14ac:dyDescent="0.25">
      <c r="O207" s="180">
        <f t="shared" si="53"/>
        <v>45678</v>
      </c>
      <c r="P207" s="181">
        <f t="shared" si="46"/>
        <v>3</v>
      </c>
      <c r="Q207" s="26" t="s">
        <v>82</v>
      </c>
      <c r="R207" s="26" t="s">
        <v>82</v>
      </c>
      <c r="S207" s="26" t="s">
        <v>82</v>
      </c>
      <c r="T207" s="26" t="s">
        <v>82</v>
      </c>
      <c r="U207" s="26" t="s">
        <v>82</v>
      </c>
      <c r="V207" s="180">
        <f t="shared" si="47"/>
        <v>45678</v>
      </c>
      <c r="W207" s="181">
        <f t="shared" si="45"/>
        <v>3</v>
      </c>
      <c r="X207" t="s">
        <v>475</v>
      </c>
      <c r="Y207" t="s">
        <v>475</v>
      </c>
      <c r="Z207" t="s">
        <v>475</v>
      </c>
      <c r="AA207" t="s">
        <v>475</v>
      </c>
      <c r="AB207" t="s">
        <v>475</v>
      </c>
      <c r="AD207" s="180">
        <f t="shared" si="54"/>
        <v>45678</v>
      </c>
      <c r="AE207" s="177">
        <f t="shared" si="48"/>
        <v>101</v>
      </c>
      <c r="AF207" s="177">
        <f t="shared" si="49"/>
        <v>101</v>
      </c>
      <c r="AG207" s="177">
        <f t="shared" si="50"/>
        <v>93</v>
      </c>
      <c r="AH207" s="177">
        <f t="shared" si="51"/>
        <v>93</v>
      </c>
      <c r="AI207" s="177">
        <f t="shared" si="52"/>
        <v>93</v>
      </c>
    </row>
    <row r="208" spans="15:35" x14ac:dyDescent="0.25">
      <c r="O208" s="180">
        <f t="shared" si="53"/>
        <v>45679</v>
      </c>
      <c r="P208" s="181">
        <f t="shared" si="46"/>
        <v>4</v>
      </c>
      <c r="Q208" s="26">
        <f t="shared" si="43"/>
        <v>1</v>
      </c>
      <c r="R208" s="26">
        <f t="shared" si="43"/>
        <v>1</v>
      </c>
      <c r="S208" s="26">
        <f t="shared" si="43"/>
        <v>1</v>
      </c>
      <c r="T208" s="26">
        <f t="shared" si="43"/>
        <v>1</v>
      </c>
      <c r="U208" s="26">
        <f t="shared" si="55"/>
        <v>1</v>
      </c>
      <c r="V208" s="180">
        <f t="shared" si="47"/>
        <v>45679</v>
      </c>
      <c r="W208" s="181">
        <f t="shared" si="45"/>
        <v>4</v>
      </c>
      <c r="AC208" t="s">
        <v>13</v>
      </c>
      <c r="AD208" s="180">
        <f t="shared" si="54"/>
        <v>45679</v>
      </c>
      <c r="AE208" s="177">
        <f t="shared" si="48"/>
        <v>100</v>
      </c>
      <c r="AF208" s="177">
        <f t="shared" si="49"/>
        <v>100</v>
      </c>
      <c r="AG208" s="177">
        <f t="shared" si="50"/>
        <v>92</v>
      </c>
      <c r="AH208" s="177">
        <f t="shared" si="51"/>
        <v>92</v>
      </c>
      <c r="AI208" s="177">
        <f t="shared" si="52"/>
        <v>92</v>
      </c>
    </row>
    <row r="209" spans="15:35" x14ac:dyDescent="0.25">
      <c r="O209" s="180">
        <f t="shared" si="53"/>
        <v>45680</v>
      </c>
      <c r="P209" s="181">
        <f t="shared" si="46"/>
        <v>5</v>
      </c>
      <c r="Q209" s="26">
        <f t="shared" si="43"/>
        <v>1</v>
      </c>
      <c r="R209" s="26">
        <f t="shared" si="43"/>
        <v>1</v>
      </c>
      <c r="S209" s="26">
        <f t="shared" si="43"/>
        <v>1</v>
      </c>
      <c r="T209" s="26">
        <f t="shared" si="43"/>
        <v>1</v>
      </c>
      <c r="U209" s="26">
        <f t="shared" si="55"/>
        <v>1</v>
      </c>
      <c r="V209" s="180">
        <f t="shared" si="47"/>
        <v>45680</v>
      </c>
      <c r="W209" s="181">
        <f t="shared" si="45"/>
        <v>5</v>
      </c>
      <c r="AC209" t="s">
        <v>410</v>
      </c>
      <c r="AD209" s="180">
        <f t="shared" si="54"/>
        <v>45680</v>
      </c>
      <c r="AE209" s="177">
        <f t="shared" si="48"/>
        <v>99</v>
      </c>
      <c r="AF209" s="177">
        <f t="shared" si="49"/>
        <v>99</v>
      </c>
      <c r="AG209" s="177">
        <f t="shared" si="50"/>
        <v>91</v>
      </c>
      <c r="AH209" s="177">
        <f t="shared" si="51"/>
        <v>91</v>
      </c>
      <c r="AI209" s="177">
        <f t="shared" si="52"/>
        <v>91</v>
      </c>
    </row>
    <row r="210" spans="15:35" x14ac:dyDescent="0.25">
      <c r="O210" s="180">
        <f t="shared" si="53"/>
        <v>45681</v>
      </c>
      <c r="P210" s="181">
        <f t="shared" si="46"/>
        <v>6</v>
      </c>
      <c r="Q210" s="26">
        <f t="shared" si="43"/>
        <v>1</v>
      </c>
      <c r="R210" s="26">
        <f t="shared" si="43"/>
        <v>1</v>
      </c>
      <c r="S210" s="26">
        <f t="shared" si="43"/>
        <v>1</v>
      </c>
      <c r="T210" s="26">
        <f t="shared" si="43"/>
        <v>1</v>
      </c>
      <c r="U210" s="26">
        <f t="shared" si="55"/>
        <v>1</v>
      </c>
      <c r="V210" s="180">
        <f t="shared" si="47"/>
        <v>45681</v>
      </c>
      <c r="W210" s="181">
        <f t="shared" si="45"/>
        <v>6</v>
      </c>
      <c r="AC210" t="s">
        <v>13</v>
      </c>
      <c r="AD210" s="180">
        <f t="shared" si="54"/>
        <v>45681</v>
      </c>
      <c r="AE210" s="177">
        <f t="shared" si="48"/>
        <v>98</v>
      </c>
      <c r="AF210" s="177">
        <f t="shared" si="49"/>
        <v>98</v>
      </c>
      <c r="AG210" s="177">
        <f t="shared" si="50"/>
        <v>90</v>
      </c>
      <c r="AH210" s="177">
        <f t="shared" si="51"/>
        <v>90</v>
      </c>
      <c r="AI210" s="177">
        <f t="shared" si="52"/>
        <v>90</v>
      </c>
    </row>
    <row r="211" spans="15:35" x14ac:dyDescent="0.25">
      <c r="O211" s="180">
        <f t="shared" si="53"/>
        <v>45682</v>
      </c>
      <c r="P211" s="181">
        <f t="shared" si="46"/>
        <v>7</v>
      </c>
      <c r="Q211" s="26" t="str">
        <f t="shared" si="43"/>
        <v/>
      </c>
      <c r="R211" s="26" t="str">
        <f t="shared" si="43"/>
        <v/>
      </c>
      <c r="S211" s="26" t="str">
        <f t="shared" si="43"/>
        <v/>
      </c>
      <c r="T211" s="26" t="str">
        <f t="shared" si="43"/>
        <v/>
      </c>
      <c r="U211" s="26" t="str">
        <f t="shared" si="55"/>
        <v/>
      </c>
      <c r="V211" s="180">
        <f t="shared" si="47"/>
        <v>45682</v>
      </c>
      <c r="W211" s="181">
        <f t="shared" si="45"/>
        <v>7</v>
      </c>
      <c r="AD211" s="180">
        <f t="shared" si="54"/>
        <v>45682</v>
      </c>
      <c r="AE211" s="177">
        <f t="shared" si="48"/>
        <v>98</v>
      </c>
      <c r="AF211" s="177">
        <f t="shared" si="49"/>
        <v>98</v>
      </c>
      <c r="AG211" s="177">
        <f t="shared" si="50"/>
        <v>90</v>
      </c>
      <c r="AH211" s="177">
        <f t="shared" si="51"/>
        <v>90</v>
      </c>
      <c r="AI211" s="177">
        <f t="shared" si="52"/>
        <v>90</v>
      </c>
    </row>
    <row r="212" spans="15:35" x14ac:dyDescent="0.25">
      <c r="O212" s="180">
        <f t="shared" si="53"/>
        <v>45683</v>
      </c>
      <c r="P212" s="181">
        <f t="shared" si="46"/>
        <v>1</v>
      </c>
      <c r="Q212" s="26" t="str">
        <f t="shared" si="43"/>
        <v/>
      </c>
      <c r="R212" s="26" t="str">
        <f t="shared" si="43"/>
        <v/>
      </c>
      <c r="S212" s="26" t="str">
        <f t="shared" si="43"/>
        <v/>
      </c>
      <c r="T212" s="26" t="str">
        <f t="shared" si="43"/>
        <v/>
      </c>
      <c r="U212" s="26" t="str">
        <f t="shared" si="55"/>
        <v/>
      </c>
      <c r="V212" s="180">
        <f t="shared" si="47"/>
        <v>45683</v>
      </c>
      <c r="W212" s="181">
        <f t="shared" si="45"/>
        <v>1</v>
      </c>
      <c r="AD212" s="180">
        <f t="shared" si="54"/>
        <v>45683</v>
      </c>
      <c r="AE212" s="177">
        <f t="shared" si="48"/>
        <v>98</v>
      </c>
      <c r="AF212" s="177">
        <f t="shared" si="49"/>
        <v>98</v>
      </c>
      <c r="AG212" s="177">
        <f t="shared" si="50"/>
        <v>90</v>
      </c>
      <c r="AH212" s="177">
        <f t="shared" si="51"/>
        <v>90</v>
      </c>
      <c r="AI212" s="177">
        <f t="shared" si="52"/>
        <v>90</v>
      </c>
    </row>
    <row r="213" spans="15:35" x14ac:dyDescent="0.25">
      <c r="O213" s="180">
        <f t="shared" si="53"/>
        <v>45684</v>
      </c>
      <c r="P213" s="181">
        <f t="shared" si="46"/>
        <v>2</v>
      </c>
      <c r="Q213" s="26">
        <f t="shared" si="43"/>
        <v>1</v>
      </c>
      <c r="R213" s="26">
        <f t="shared" si="43"/>
        <v>1</v>
      </c>
      <c r="S213" s="26">
        <f t="shared" si="43"/>
        <v>1</v>
      </c>
      <c r="T213" s="26">
        <f t="shared" si="43"/>
        <v>1</v>
      </c>
      <c r="U213" s="26">
        <f t="shared" si="55"/>
        <v>1</v>
      </c>
      <c r="V213" s="180">
        <f t="shared" si="47"/>
        <v>45684</v>
      </c>
      <c r="W213" s="181">
        <f t="shared" si="45"/>
        <v>2</v>
      </c>
      <c r="AC213" t="s">
        <v>410</v>
      </c>
      <c r="AD213" s="180">
        <f t="shared" si="54"/>
        <v>45684</v>
      </c>
      <c r="AE213" s="177">
        <f t="shared" si="48"/>
        <v>97</v>
      </c>
      <c r="AF213" s="177">
        <f t="shared" si="49"/>
        <v>97</v>
      </c>
      <c r="AG213" s="177">
        <f t="shared" si="50"/>
        <v>89</v>
      </c>
      <c r="AH213" s="177">
        <f t="shared" si="51"/>
        <v>89</v>
      </c>
      <c r="AI213" s="177">
        <f t="shared" si="52"/>
        <v>89</v>
      </c>
    </row>
    <row r="214" spans="15:35" x14ac:dyDescent="0.25">
      <c r="O214" s="180">
        <f t="shared" si="53"/>
        <v>45685</v>
      </c>
      <c r="P214" s="181">
        <f t="shared" si="46"/>
        <v>3</v>
      </c>
      <c r="Q214" s="26">
        <f t="shared" si="43"/>
        <v>1</v>
      </c>
      <c r="R214" s="26">
        <f t="shared" si="43"/>
        <v>1</v>
      </c>
      <c r="S214" s="26">
        <f t="shared" si="43"/>
        <v>1</v>
      </c>
      <c r="T214" s="26">
        <f t="shared" si="43"/>
        <v>1</v>
      </c>
      <c r="U214" s="26">
        <f t="shared" si="55"/>
        <v>1</v>
      </c>
      <c r="V214" s="180">
        <f t="shared" si="47"/>
        <v>45685</v>
      </c>
      <c r="W214" s="181">
        <f t="shared" si="45"/>
        <v>3</v>
      </c>
      <c r="AC214" t="s">
        <v>13</v>
      </c>
      <c r="AD214" s="180">
        <f t="shared" si="54"/>
        <v>45685</v>
      </c>
      <c r="AE214" s="177">
        <f t="shared" si="48"/>
        <v>96</v>
      </c>
      <c r="AF214" s="177">
        <f t="shared" si="49"/>
        <v>96</v>
      </c>
      <c r="AG214" s="177">
        <f t="shared" si="50"/>
        <v>88</v>
      </c>
      <c r="AH214" s="177">
        <f t="shared" si="51"/>
        <v>88</v>
      </c>
      <c r="AI214" s="177">
        <f t="shared" si="52"/>
        <v>88</v>
      </c>
    </row>
    <row r="215" spans="15:35" x14ac:dyDescent="0.25">
      <c r="O215" s="180">
        <f t="shared" si="53"/>
        <v>45686</v>
      </c>
      <c r="P215" s="181">
        <f t="shared" si="46"/>
        <v>4</v>
      </c>
      <c r="Q215" s="26">
        <f t="shared" si="43"/>
        <v>1</v>
      </c>
      <c r="R215" s="26">
        <f t="shared" si="43"/>
        <v>1</v>
      </c>
      <c r="S215" s="26">
        <f t="shared" si="43"/>
        <v>1</v>
      </c>
      <c r="T215" s="26">
        <f t="shared" si="43"/>
        <v>1</v>
      </c>
      <c r="U215" s="26">
        <f t="shared" si="55"/>
        <v>1</v>
      </c>
      <c r="V215" s="180">
        <f t="shared" si="47"/>
        <v>45686</v>
      </c>
      <c r="W215" s="181">
        <f t="shared" si="45"/>
        <v>4</v>
      </c>
      <c r="AC215" t="s">
        <v>410</v>
      </c>
      <c r="AD215" s="180">
        <f t="shared" si="54"/>
        <v>45686</v>
      </c>
      <c r="AE215" s="177">
        <f t="shared" si="48"/>
        <v>95</v>
      </c>
      <c r="AF215" s="177">
        <f t="shared" si="49"/>
        <v>95</v>
      </c>
      <c r="AG215" s="177">
        <f t="shared" si="50"/>
        <v>87</v>
      </c>
      <c r="AH215" s="177">
        <f t="shared" si="51"/>
        <v>87</v>
      </c>
      <c r="AI215" s="177">
        <f t="shared" si="52"/>
        <v>87</v>
      </c>
    </row>
    <row r="216" spans="15:35" x14ac:dyDescent="0.25">
      <c r="O216" s="180">
        <f t="shared" si="53"/>
        <v>45687</v>
      </c>
      <c r="P216" s="181">
        <f t="shared" si="46"/>
        <v>5</v>
      </c>
      <c r="Q216" s="26">
        <f t="shared" si="43"/>
        <v>1</v>
      </c>
      <c r="R216" s="26">
        <f t="shared" si="43"/>
        <v>1</v>
      </c>
      <c r="S216" s="26">
        <f t="shared" si="43"/>
        <v>1</v>
      </c>
      <c r="T216" s="26">
        <f t="shared" si="43"/>
        <v>1</v>
      </c>
      <c r="U216" s="26">
        <f t="shared" si="55"/>
        <v>1</v>
      </c>
      <c r="V216" s="180">
        <f t="shared" si="47"/>
        <v>45687</v>
      </c>
      <c r="W216" s="181">
        <f t="shared" si="45"/>
        <v>5</v>
      </c>
      <c r="AC216" t="s">
        <v>13</v>
      </c>
      <c r="AD216" s="180">
        <f t="shared" si="54"/>
        <v>45687</v>
      </c>
      <c r="AE216" s="177">
        <f t="shared" si="48"/>
        <v>94</v>
      </c>
      <c r="AF216" s="177">
        <f t="shared" si="49"/>
        <v>94</v>
      </c>
      <c r="AG216" s="177">
        <f t="shared" si="50"/>
        <v>86</v>
      </c>
      <c r="AH216" s="177">
        <f t="shared" si="51"/>
        <v>86</v>
      </c>
      <c r="AI216" s="177">
        <f t="shared" si="52"/>
        <v>86</v>
      </c>
    </row>
    <row r="217" spans="15:35" x14ac:dyDescent="0.25">
      <c r="O217" s="180">
        <f t="shared" si="53"/>
        <v>45688</v>
      </c>
      <c r="P217" s="181">
        <f t="shared" si="46"/>
        <v>6</v>
      </c>
      <c r="Q217" s="26">
        <f t="shared" si="43"/>
        <v>1</v>
      </c>
      <c r="R217" s="26">
        <f t="shared" si="43"/>
        <v>1</v>
      </c>
      <c r="S217" s="26">
        <f t="shared" si="43"/>
        <v>1</v>
      </c>
      <c r="T217" s="26">
        <f t="shared" si="43"/>
        <v>1</v>
      </c>
      <c r="U217" s="26">
        <f t="shared" si="55"/>
        <v>1</v>
      </c>
      <c r="V217" s="180">
        <f t="shared" si="47"/>
        <v>45688</v>
      </c>
      <c r="W217" s="181">
        <f t="shared" si="45"/>
        <v>6</v>
      </c>
      <c r="AC217" t="s">
        <v>410</v>
      </c>
      <c r="AD217" s="180">
        <f t="shared" si="54"/>
        <v>45688</v>
      </c>
      <c r="AE217" s="177">
        <f t="shared" si="48"/>
        <v>93</v>
      </c>
      <c r="AF217" s="177">
        <f t="shared" si="49"/>
        <v>93</v>
      </c>
      <c r="AG217" s="177">
        <f t="shared" si="50"/>
        <v>85</v>
      </c>
      <c r="AH217" s="177">
        <f t="shared" si="51"/>
        <v>85</v>
      </c>
      <c r="AI217" s="177">
        <f t="shared" si="52"/>
        <v>85</v>
      </c>
    </row>
    <row r="218" spans="15:35" x14ac:dyDescent="0.25">
      <c r="O218" s="180">
        <f t="shared" si="53"/>
        <v>45689</v>
      </c>
      <c r="P218" s="181">
        <f t="shared" si="46"/>
        <v>7</v>
      </c>
      <c r="Q218" s="26" t="str">
        <f t="shared" si="43"/>
        <v/>
      </c>
      <c r="R218" s="26" t="str">
        <f t="shared" si="43"/>
        <v/>
      </c>
      <c r="S218" s="26" t="str">
        <f t="shared" si="43"/>
        <v/>
      </c>
      <c r="T218" s="26" t="str">
        <f t="shared" si="43"/>
        <v/>
      </c>
      <c r="U218" s="26" t="str">
        <f t="shared" si="55"/>
        <v/>
      </c>
      <c r="V218" s="180">
        <f t="shared" si="47"/>
        <v>45689</v>
      </c>
      <c r="W218" s="181">
        <f t="shared" si="45"/>
        <v>7</v>
      </c>
      <c r="AD218" s="180">
        <f t="shared" si="54"/>
        <v>45689</v>
      </c>
      <c r="AE218" s="177">
        <f t="shared" si="48"/>
        <v>93</v>
      </c>
      <c r="AF218" s="177">
        <f t="shared" si="49"/>
        <v>93</v>
      </c>
      <c r="AG218" s="177">
        <f t="shared" si="50"/>
        <v>85</v>
      </c>
      <c r="AH218" s="177">
        <f t="shared" si="51"/>
        <v>85</v>
      </c>
      <c r="AI218" s="177">
        <f t="shared" si="52"/>
        <v>85</v>
      </c>
    </row>
    <row r="219" spans="15:35" x14ac:dyDescent="0.25">
      <c r="O219" s="180">
        <f t="shared" si="53"/>
        <v>45690</v>
      </c>
      <c r="P219" s="181">
        <f t="shared" si="46"/>
        <v>1</v>
      </c>
      <c r="Q219" s="26" t="str">
        <f t="shared" si="43"/>
        <v/>
      </c>
      <c r="R219" s="26" t="str">
        <f t="shared" si="43"/>
        <v/>
      </c>
      <c r="S219" s="26" t="str">
        <f t="shared" si="43"/>
        <v/>
      </c>
      <c r="T219" s="26" t="str">
        <f t="shared" si="43"/>
        <v/>
      </c>
      <c r="U219" s="26" t="str">
        <f t="shared" si="55"/>
        <v/>
      </c>
      <c r="V219" s="180">
        <f t="shared" si="47"/>
        <v>45690</v>
      </c>
      <c r="W219" s="181">
        <f t="shared" si="45"/>
        <v>1</v>
      </c>
      <c r="AD219" s="180">
        <f t="shared" si="54"/>
        <v>45690</v>
      </c>
      <c r="AE219" s="177">
        <f t="shared" si="48"/>
        <v>93</v>
      </c>
      <c r="AF219" s="177">
        <f t="shared" si="49"/>
        <v>93</v>
      </c>
      <c r="AG219" s="177">
        <f t="shared" si="50"/>
        <v>85</v>
      </c>
      <c r="AH219" s="177">
        <f t="shared" si="51"/>
        <v>85</v>
      </c>
      <c r="AI219" s="177">
        <f t="shared" si="52"/>
        <v>85</v>
      </c>
    </row>
    <row r="220" spans="15:35" x14ac:dyDescent="0.25">
      <c r="O220" s="180">
        <f t="shared" si="53"/>
        <v>45691</v>
      </c>
      <c r="P220" s="181">
        <f t="shared" si="46"/>
        <v>2</v>
      </c>
      <c r="Q220" s="26">
        <f t="shared" si="43"/>
        <v>1</v>
      </c>
      <c r="R220" s="26">
        <f t="shared" si="43"/>
        <v>1</v>
      </c>
      <c r="S220" s="26">
        <f t="shared" si="43"/>
        <v>1</v>
      </c>
      <c r="T220" s="26">
        <f t="shared" si="43"/>
        <v>1</v>
      </c>
      <c r="U220" s="26">
        <f t="shared" si="55"/>
        <v>1</v>
      </c>
      <c r="V220" s="180">
        <f t="shared" si="47"/>
        <v>45691</v>
      </c>
      <c r="W220" s="181">
        <f t="shared" si="45"/>
        <v>2</v>
      </c>
      <c r="AC220" t="s">
        <v>13</v>
      </c>
      <c r="AD220" s="180">
        <f t="shared" si="54"/>
        <v>45691</v>
      </c>
      <c r="AE220" s="177">
        <f t="shared" si="48"/>
        <v>92</v>
      </c>
      <c r="AF220" s="177">
        <f t="shared" si="49"/>
        <v>92</v>
      </c>
      <c r="AG220" s="177">
        <f t="shared" si="50"/>
        <v>84</v>
      </c>
      <c r="AH220" s="177">
        <f t="shared" si="51"/>
        <v>84</v>
      </c>
      <c r="AI220" s="177">
        <f t="shared" si="52"/>
        <v>84</v>
      </c>
    </row>
    <row r="221" spans="15:35" x14ac:dyDescent="0.25">
      <c r="O221" s="180">
        <f t="shared" si="53"/>
        <v>45692</v>
      </c>
      <c r="P221" s="181">
        <f t="shared" si="46"/>
        <v>3</v>
      </c>
      <c r="Q221" s="26">
        <f t="shared" si="43"/>
        <v>1</v>
      </c>
      <c r="R221" s="26">
        <f t="shared" si="43"/>
        <v>1</v>
      </c>
      <c r="S221" s="26">
        <f t="shared" si="43"/>
        <v>1</v>
      </c>
      <c r="T221" s="26">
        <f t="shared" si="43"/>
        <v>1</v>
      </c>
      <c r="U221" s="26">
        <f t="shared" si="55"/>
        <v>1</v>
      </c>
      <c r="V221" s="180">
        <f t="shared" si="47"/>
        <v>45692</v>
      </c>
      <c r="W221" s="181">
        <f t="shared" si="45"/>
        <v>3</v>
      </c>
      <c r="AC221" t="s">
        <v>410</v>
      </c>
      <c r="AD221" s="180">
        <f t="shared" si="54"/>
        <v>45692</v>
      </c>
      <c r="AE221" s="177">
        <f t="shared" si="48"/>
        <v>91</v>
      </c>
      <c r="AF221" s="177">
        <f t="shared" si="49"/>
        <v>91</v>
      </c>
      <c r="AG221" s="177">
        <f t="shared" si="50"/>
        <v>83</v>
      </c>
      <c r="AH221" s="177">
        <f t="shared" si="51"/>
        <v>83</v>
      </c>
      <c r="AI221" s="177">
        <f t="shared" si="52"/>
        <v>83</v>
      </c>
    </row>
    <row r="222" spans="15:35" x14ac:dyDescent="0.25">
      <c r="O222" s="180">
        <f t="shared" si="53"/>
        <v>45693</v>
      </c>
      <c r="P222" s="181">
        <f t="shared" si="46"/>
        <v>4</v>
      </c>
      <c r="Q222" s="26">
        <f t="shared" si="43"/>
        <v>1</v>
      </c>
      <c r="R222" s="26">
        <f t="shared" si="43"/>
        <v>1</v>
      </c>
      <c r="S222" s="26">
        <f t="shared" si="43"/>
        <v>1</v>
      </c>
      <c r="T222" s="26">
        <f t="shared" si="43"/>
        <v>1</v>
      </c>
      <c r="U222" s="26">
        <f t="shared" si="55"/>
        <v>1</v>
      </c>
      <c r="V222" s="180">
        <f t="shared" si="47"/>
        <v>45693</v>
      </c>
      <c r="W222" s="181">
        <f t="shared" si="45"/>
        <v>4</v>
      </c>
      <c r="AC222" t="s">
        <v>13</v>
      </c>
      <c r="AD222" s="180">
        <f t="shared" si="54"/>
        <v>45693</v>
      </c>
      <c r="AE222" s="177">
        <f t="shared" si="48"/>
        <v>90</v>
      </c>
      <c r="AF222" s="177">
        <f t="shared" si="49"/>
        <v>90</v>
      </c>
      <c r="AG222" s="177">
        <f t="shared" si="50"/>
        <v>82</v>
      </c>
      <c r="AH222" s="177">
        <f t="shared" si="51"/>
        <v>82</v>
      </c>
      <c r="AI222" s="177">
        <f t="shared" si="52"/>
        <v>82</v>
      </c>
    </row>
    <row r="223" spans="15:35" x14ac:dyDescent="0.25">
      <c r="O223" s="180">
        <f t="shared" si="53"/>
        <v>45694</v>
      </c>
      <c r="P223" s="181">
        <f t="shared" si="46"/>
        <v>5</v>
      </c>
      <c r="Q223" s="26">
        <f t="shared" si="43"/>
        <v>1</v>
      </c>
      <c r="R223" s="26">
        <f t="shared" si="43"/>
        <v>1</v>
      </c>
      <c r="S223" s="26">
        <f t="shared" si="43"/>
        <v>1</v>
      </c>
      <c r="T223" s="26">
        <f t="shared" si="43"/>
        <v>1</v>
      </c>
      <c r="U223" s="26">
        <f t="shared" si="55"/>
        <v>1</v>
      </c>
      <c r="V223" s="180">
        <f t="shared" si="47"/>
        <v>45694</v>
      </c>
      <c r="W223" s="181">
        <f t="shared" si="45"/>
        <v>5</v>
      </c>
      <c r="AC223" t="s">
        <v>410</v>
      </c>
      <c r="AD223" s="180">
        <f t="shared" si="54"/>
        <v>45694</v>
      </c>
      <c r="AE223" s="177">
        <f t="shared" si="48"/>
        <v>89</v>
      </c>
      <c r="AF223" s="177">
        <f t="shared" si="49"/>
        <v>89</v>
      </c>
      <c r="AG223" s="177">
        <f t="shared" si="50"/>
        <v>81</v>
      </c>
      <c r="AH223" s="177">
        <f t="shared" si="51"/>
        <v>81</v>
      </c>
      <c r="AI223" s="177">
        <f t="shared" si="52"/>
        <v>81</v>
      </c>
    </row>
    <row r="224" spans="15:35" x14ac:dyDescent="0.25">
      <c r="O224" s="180">
        <f t="shared" si="53"/>
        <v>45695</v>
      </c>
      <c r="P224" s="181">
        <f t="shared" si="46"/>
        <v>6</v>
      </c>
      <c r="Q224" s="26">
        <f t="shared" si="43"/>
        <v>1</v>
      </c>
      <c r="R224" s="26">
        <f t="shared" si="43"/>
        <v>1</v>
      </c>
      <c r="S224" s="26">
        <f t="shared" si="43"/>
        <v>1</v>
      </c>
      <c r="T224" s="26">
        <f t="shared" si="43"/>
        <v>1</v>
      </c>
      <c r="U224" s="26">
        <f t="shared" si="55"/>
        <v>1</v>
      </c>
      <c r="V224" s="180">
        <f t="shared" si="47"/>
        <v>45695</v>
      </c>
      <c r="W224" s="181">
        <f t="shared" si="45"/>
        <v>6</v>
      </c>
      <c r="X224" t="s">
        <v>476</v>
      </c>
      <c r="Y224" t="s">
        <v>476</v>
      </c>
      <c r="Z224" t="s">
        <v>476</v>
      </c>
      <c r="AA224" t="s">
        <v>476</v>
      </c>
      <c r="AB224" t="s">
        <v>476</v>
      </c>
      <c r="AD224" s="180">
        <f t="shared" si="54"/>
        <v>45695</v>
      </c>
      <c r="AE224" s="177">
        <f t="shared" si="48"/>
        <v>88</v>
      </c>
      <c r="AF224" s="177">
        <f t="shared" si="49"/>
        <v>88</v>
      </c>
      <c r="AG224" s="177">
        <f t="shared" si="50"/>
        <v>80</v>
      </c>
      <c r="AH224" s="177">
        <f t="shared" si="51"/>
        <v>80</v>
      </c>
      <c r="AI224" s="177">
        <f t="shared" si="52"/>
        <v>80</v>
      </c>
    </row>
    <row r="225" spans="15:35" x14ac:dyDescent="0.25">
      <c r="O225" s="180">
        <f t="shared" si="53"/>
        <v>45696</v>
      </c>
      <c r="P225" s="181">
        <f t="shared" si="46"/>
        <v>7</v>
      </c>
      <c r="Q225" s="26" t="str">
        <f t="shared" si="43"/>
        <v/>
      </c>
      <c r="R225" s="26" t="str">
        <f t="shared" si="43"/>
        <v/>
      </c>
      <c r="S225" s="26" t="str">
        <f t="shared" si="43"/>
        <v/>
      </c>
      <c r="T225" s="26" t="str">
        <f t="shared" si="43"/>
        <v/>
      </c>
      <c r="U225" s="26" t="str">
        <f t="shared" si="55"/>
        <v/>
      </c>
      <c r="V225" s="180">
        <f t="shared" si="47"/>
        <v>45696</v>
      </c>
      <c r="W225" s="181">
        <f t="shared" si="45"/>
        <v>7</v>
      </c>
      <c r="AD225" s="180">
        <f t="shared" si="54"/>
        <v>45696</v>
      </c>
      <c r="AE225" s="177">
        <f t="shared" si="48"/>
        <v>88</v>
      </c>
      <c r="AF225" s="177">
        <f t="shared" si="49"/>
        <v>88</v>
      </c>
      <c r="AG225" s="177">
        <f t="shared" si="50"/>
        <v>80</v>
      </c>
      <c r="AH225" s="177">
        <f t="shared" si="51"/>
        <v>80</v>
      </c>
      <c r="AI225" s="177">
        <f t="shared" si="52"/>
        <v>80</v>
      </c>
    </row>
    <row r="226" spans="15:35" x14ac:dyDescent="0.25">
      <c r="O226" s="180">
        <f t="shared" si="53"/>
        <v>45697</v>
      </c>
      <c r="P226" s="181">
        <f t="shared" si="46"/>
        <v>1</v>
      </c>
      <c r="Q226" s="26" t="str">
        <f t="shared" si="43"/>
        <v/>
      </c>
      <c r="R226" s="26" t="str">
        <f t="shared" si="43"/>
        <v/>
      </c>
      <c r="S226" s="26" t="str">
        <f t="shared" si="43"/>
        <v/>
      </c>
      <c r="T226" s="26" t="str">
        <f t="shared" si="43"/>
        <v/>
      </c>
      <c r="U226" s="26" t="str">
        <f t="shared" si="55"/>
        <v/>
      </c>
      <c r="V226" s="180">
        <f t="shared" si="47"/>
        <v>45697</v>
      </c>
      <c r="W226" s="181">
        <f t="shared" si="45"/>
        <v>1</v>
      </c>
      <c r="AD226" s="180">
        <f t="shared" si="54"/>
        <v>45697</v>
      </c>
      <c r="AE226" s="177">
        <f t="shared" si="48"/>
        <v>88</v>
      </c>
      <c r="AF226" s="177">
        <f t="shared" si="49"/>
        <v>88</v>
      </c>
      <c r="AG226" s="177">
        <f t="shared" si="50"/>
        <v>80</v>
      </c>
      <c r="AH226" s="177">
        <f t="shared" si="51"/>
        <v>80</v>
      </c>
      <c r="AI226" s="177">
        <f t="shared" si="52"/>
        <v>80</v>
      </c>
    </row>
    <row r="227" spans="15:35" x14ac:dyDescent="0.25">
      <c r="O227" s="180">
        <f t="shared" si="53"/>
        <v>45698</v>
      </c>
      <c r="P227" s="181">
        <f t="shared" si="46"/>
        <v>2</v>
      </c>
      <c r="Q227" s="26">
        <f t="shared" si="43"/>
        <v>1</v>
      </c>
      <c r="R227" s="26">
        <f t="shared" si="43"/>
        <v>1</v>
      </c>
      <c r="S227" s="26">
        <f t="shared" si="43"/>
        <v>1</v>
      </c>
      <c r="T227" s="26">
        <f t="shared" si="43"/>
        <v>1</v>
      </c>
      <c r="U227" s="26">
        <f t="shared" si="55"/>
        <v>1</v>
      </c>
      <c r="V227" s="180">
        <f t="shared" si="47"/>
        <v>45698</v>
      </c>
      <c r="W227" s="181">
        <f t="shared" si="45"/>
        <v>2</v>
      </c>
      <c r="AC227" t="s">
        <v>13</v>
      </c>
      <c r="AD227" s="180">
        <f t="shared" si="54"/>
        <v>45698</v>
      </c>
      <c r="AE227" s="177">
        <f t="shared" si="48"/>
        <v>87</v>
      </c>
      <c r="AF227" s="177">
        <f t="shared" si="49"/>
        <v>87</v>
      </c>
      <c r="AG227" s="177">
        <f t="shared" si="50"/>
        <v>79</v>
      </c>
      <c r="AH227" s="177">
        <f t="shared" si="51"/>
        <v>79</v>
      </c>
      <c r="AI227" s="177">
        <f t="shared" si="52"/>
        <v>79</v>
      </c>
    </row>
    <row r="228" spans="15:35" x14ac:dyDescent="0.25">
      <c r="O228" s="180">
        <f t="shared" si="53"/>
        <v>45699</v>
      </c>
      <c r="P228" s="181">
        <f t="shared" si="46"/>
        <v>3</v>
      </c>
      <c r="Q228" s="26">
        <f t="shared" si="43"/>
        <v>1</v>
      </c>
      <c r="R228" s="26">
        <f t="shared" si="43"/>
        <v>1</v>
      </c>
      <c r="S228" s="26">
        <f t="shared" si="43"/>
        <v>1</v>
      </c>
      <c r="T228" s="26">
        <f t="shared" si="43"/>
        <v>1</v>
      </c>
      <c r="U228" s="26">
        <f t="shared" si="55"/>
        <v>1</v>
      </c>
      <c r="V228" s="180">
        <f t="shared" si="47"/>
        <v>45699</v>
      </c>
      <c r="W228" s="181">
        <f t="shared" si="45"/>
        <v>3</v>
      </c>
      <c r="AC228" t="s">
        <v>410</v>
      </c>
      <c r="AD228" s="180">
        <f t="shared" si="54"/>
        <v>45699</v>
      </c>
      <c r="AE228" s="177">
        <f t="shared" si="48"/>
        <v>86</v>
      </c>
      <c r="AF228" s="177">
        <f t="shared" si="49"/>
        <v>86</v>
      </c>
      <c r="AG228" s="177">
        <f t="shared" si="50"/>
        <v>78</v>
      </c>
      <c r="AH228" s="177">
        <f t="shared" si="51"/>
        <v>78</v>
      </c>
      <c r="AI228" s="177">
        <f t="shared" si="52"/>
        <v>78</v>
      </c>
    </row>
    <row r="229" spans="15:35" x14ac:dyDescent="0.25">
      <c r="O229" s="180">
        <f t="shared" si="53"/>
        <v>45700</v>
      </c>
      <c r="P229" s="181">
        <f t="shared" si="46"/>
        <v>4</v>
      </c>
      <c r="Q229" s="26">
        <f t="shared" si="43"/>
        <v>1</v>
      </c>
      <c r="R229" s="26">
        <f t="shared" si="43"/>
        <v>1</v>
      </c>
      <c r="S229" s="26">
        <f t="shared" si="43"/>
        <v>1</v>
      </c>
      <c r="T229" s="26">
        <f t="shared" si="43"/>
        <v>1</v>
      </c>
      <c r="U229" s="26">
        <f t="shared" si="55"/>
        <v>1</v>
      </c>
      <c r="V229" s="180">
        <f t="shared" si="47"/>
        <v>45700</v>
      </c>
      <c r="W229" s="181">
        <f t="shared" si="45"/>
        <v>4</v>
      </c>
      <c r="AA229" t="s">
        <v>12</v>
      </c>
      <c r="AC229" t="s">
        <v>13</v>
      </c>
      <c r="AD229" s="180">
        <f t="shared" si="54"/>
        <v>45700</v>
      </c>
      <c r="AE229" s="177">
        <f t="shared" si="48"/>
        <v>85</v>
      </c>
      <c r="AF229" s="177">
        <f t="shared" si="49"/>
        <v>85</v>
      </c>
      <c r="AG229" s="177">
        <f t="shared" si="50"/>
        <v>77</v>
      </c>
      <c r="AH229" s="177">
        <f t="shared" si="51"/>
        <v>77</v>
      </c>
      <c r="AI229" s="177">
        <f t="shared" si="52"/>
        <v>77</v>
      </c>
    </row>
    <row r="230" spans="15:35" x14ac:dyDescent="0.25">
      <c r="O230" s="180">
        <f t="shared" si="53"/>
        <v>45701</v>
      </c>
      <c r="P230" s="181">
        <f t="shared" si="46"/>
        <v>5</v>
      </c>
      <c r="Q230" s="26">
        <f t="shared" si="43"/>
        <v>1</v>
      </c>
      <c r="R230" s="26">
        <f t="shared" si="43"/>
        <v>1</v>
      </c>
      <c r="S230" s="26">
        <f t="shared" si="43"/>
        <v>1</v>
      </c>
      <c r="T230" s="26">
        <f t="shared" si="43"/>
        <v>1</v>
      </c>
      <c r="U230" s="26">
        <f t="shared" si="55"/>
        <v>1</v>
      </c>
      <c r="V230" s="180">
        <f t="shared" si="47"/>
        <v>45701</v>
      </c>
      <c r="W230" s="181">
        <f t="shared" si="45"/>
        <v>5</v>
      </c>
      <c r="AA230" t="s">
        <v>12</v>
      </c>
      <c r="AC230" t="s">
        <v>410</v>
      </c>
      <c r="AD230" s="180">
        <f t="shared" si="54"/>
        <v>45701</v>
      </c>
      <c r="AE230" s="177">
        <f t="shared" si="48"/>
        <v>84</v>
      </c>
      <c r="AF230" s="177">
        <f t="shared" si="49"/>
        <v>84</v>
      </c>
      <c r="AG230" s="177">
        <f t="shared" si="50"/>
        <v>76</v>
      </c>
      <c r="AH230" s="177">
        <f t="shared" si="51"/>
        <v>76</v>
      </c>
      <c r="AI230" s="177">
        <f t="shared" si="52"/>
        <v>76</v>
      </c>
    </row>
    <row r="231" spans="15:35" x14ac:dyDescent="0.25">
      <c r="O231" s="180">
        <f t="shared" si="53"/>
        <v>45702</v>
      </c>
      <c r="P231" s="181">
        <f t="shared" si="46"/>
        <v>6</v>
      </c>
      <c r="Q231" s="26">
        <f t="shared" si="43"/>
        <v>1</v>
      </c>
      <c r="R231" s="26">
        <f t="shared" si="43"/>
        <v>1</v>
      </c>
      <c r="S231" s="26">
        <f t="shared" si="43"/>
        <v>1</v>
      </c>
      <c r="T231" s="26">
        <f t="shared" si="43"/>
        <v>1</v>
      </c>
      <c r="U231" s="26">
        <f t="shared" si="55"/>
        <v>1</v>
      </c>
      <c r="V231" s="180">
        <f t="shared" si="47"/>
        <v>45702</v>
      </c>
      <c r="W231" s="181">
        <f t="shared" si="45"/>
        <v>6</v>
      </c>
      <c r="X231" t="s">
        <v>474</v>
      </c>
      <c r="Y231" t="s">
        <v>474</v>
      </c>
      <c r="AA231" t="s">
        <v>474</v>
      </c>
      <c r="AD231" s="180">
        <f t="shared" si="54"/>
        <v>45702</v>
      </c>
      <c r="AE231" s="177">
        <f t="shared" si="48"/>
        <v>83</v>
      </c>
      <c r="AF231" s="177">
        <f t="shared" si="49"/>
        <v>83</v>
      </c>
      <c r="AG231" s="177">
        <f t="shared" si="50"/>
        <v>75</v>
      </c>
      <c r="AH231" s="177">
        <f t="shared" si="51"/>
        <v>75</v>
      </c>
      <c r="AI231" s="177">
        <f t="shared" si="52"/>
        <v>75</v>
      </c>
    </row>
    <row r="232" spans="15:35" x14ac:dyDescent="0.25">
      <c r="O232" s="180">
        <f t="shared" si="53"/>
        <v>45703</v>
      </c>
      <c r="P232" s="181">
        <f t="shared" si="46"/>
        <v>7</v>
      </c>
      <c r="Q232" s="26" t="str">
        <f t="shared" si="43"/>
        <v/>
      </c>
      <c r="R232" s="26" t="str">
        <f t="shared" si="43"/>
        <v/>
      </c>
      <c r="S232" s="26" t="str">
        <f t="shared" si="43"/>
        <v/>
      </c>
      <c r="T232" s="26" t="str">
        <f t="shared" si="43"/>
        <v/>
      </c>
      <c r="U232" s="26" t="str">
        <f t="shared" si="55"/>
        <v/>
      </c>
      <c r="V232" s="180">
        <f t="shared" si="47"/>
        <v>45703</v>
      </c>
      <c r="W232" s="181">
        <f t="shared" si="45"/>
        <v>7</v>
      </c>
      <c r="AD232" s="180">
        <f t="shared" si="54"/>
        <v>45703</v>
      </c>
      <c r="AE232" s="177">
        <f t="shared" si="48"/>
        <v>83</v>
      </c>
      <c r="AF232" s="177">
        <f t="shared" si="49"/>
        <v>83</v>
      </c>
      <c r="AG232" s="177">
        <f t="shared" si="50"/>
        <v>75</v>
      </c>
      <c r="AH232" s="177">
        <f t="shared" si="51"/>
        <v>75</v>
      </c>
      <c r="AI232" s="177">
        <f t="shared" si="52"/>
        <v>75</v>
      </c>
    </row>
    <row r="233" spans="15:35" x14ac:dyDescent="0.25">
      <c r="O233" s="180">
        <f t="shared" si="53"/>
        <v>45704</v>
      </c>
      <c r="P233" s="181">
        <f t="shared" si="46"/>
        <v>1</v>
      </c>
      <c r="Q233" s="26" t="str">
        <f t="shared" si="43"/>
        <v/>
      </c>
      <c r="R233" s="26" t="str">
        <f t="shared" si="43"/>
        <v/>
      </c>
      <c r="S233" s="26" t="str">
        <f t="shared" si="43"/>
        <v/>
      </c>
      <c r="T233" s="26" t="str">
        <f t="shared" si="43"/>
        <v/>
      </c>
      <c r="U233" s="26" t="str">
        <f t="shared" si="55"/>
        <v/>
      </c>
      <c r="V233" s="180">
        <f t="shared" si="47"/>
        <v>45704</v>
      </c>
      <c r="W233" s="181">
        <f t="shared" si="45"/>
        <v>1</v>
      </c>
      <c r="AD233" s="180">
        <f t="shared" si="54"/>
        <v>45704</v>
      </c>
      <c r="AE233" s="177">
        <f t="shared" si="48"/>
        <v>83</v>
      </c>
      <c r="AF233" s="177">
        <f t="shared" si="49"/>
        <v>83</v>
      </c>
      <c r="AG233" s="177">
        <f t="shared" si="50"/>
        <v>75</v>
      </c>
      <c r="AH233" s="177">
        <f t="shared" si="51"/>
        <v>75</v>
      </c>
      <c r="AI233" s="177">
        <f t="shared" si="52"/>
        <v>75</v>
      </c>
    </row>
    <row r="234" spans="15:35" x14ac:dyDescent="0.25">
      <c r="O234" s="180">
        <f t="shared" si="53"/>
        <v>45705</v>
      </c>
      <c r="P234" s="181">
        <f t="shared" si="46"/>
        <v>2</v>
      </c>
      <c r="Q234" s="26" t="s">
        <v>83</v>
      </c>
      <c r="R234" s="26" t="s">
        <v>83</v>
      </c>
      <c r="S234" s="26" t="s">
        <v>83</v>
      </c>
      <c r="T234" s="26" t="s">
        <v>83</v>
      </c>
      <c r="U234" s="26" t="s">
        <v>83</v>
      </c>
      <c r="V234" s="180">
        <f t="shared" si="47"/>
        <v>45705</v>
      </c>
      <c r="W234" s="181">
        <f t="shared" si="45"/>
        <v>2</v>
      </c>
      <c r="AD234" s="180">
        <f t="shared" si="54"/>
        <v>45705</v>
      </c>
      <c r="AE234" s="177">
        <f t="shared" si="48"/>
        <v>83</v>
      </c>
      <c r="AF234" s="177">
        <f t="shared" si="49"/>
        <v>83</v>
      </c>
      <c r="AG234" s="177">
        <f t="shared" si="50"/>
        <v>75</v>
      </c>
      <c r="AH234" s="177">
        <f t="shared" si="51"/>
        <v>75</v>
      </c>
      <c r="AI234" s="177">
        <f t="shared" si="52"/>
        <v>75</v>
      </c>
    </row>
    <row r="235" spans="15:35" x14ac:dyDescent="0.25">
      <c r="O235" s="180">
        <f t="shared" si="53"/>
        <v>45706</v>
      </c>
      <c r="P235" s="181">
        <f t="shared" si="46"/>
        <v>3</v>
      </c>
      <c r="Q235" s="26">
        <f t="shared" si="43"/>
        <v>1</v>
      </c>
      <c r="R235" s="26">
        <f t="shared" si="43"/>
        <v>1</v>
      </c>
      <c r="S235" s="26">
        <f t="shared" si="43"/>
        <v>1</v>
      </c>
      <c r="T235" s="26">
        <f t="shared" si="43"/>
        <v>1</v>
      </c>
      <c r="U235" s="26">
        <f t="shared" si="55"/>
        <v>1</v>
      </c>
      <c r="V235" s="180">
        <f t="shared" si="47"/>
        <v>45706</v>
      </c>
      <c r="W235" s="181">
        <f t="shared" si="45"/>
        <v>3</v>
      </c>
      <c r="AC235" t="s">
        <v>13</v>
      </c>
      <c r="AD235" s="180">
        <f t="shared" si="54"/>
        <v>45706</v>
      </c>
      <c r="AE235" s="177">
        <f t="shared" si="48"/>
        <v>82</v>
      </c>
      <c r="AF235" s="177">
        <f t="shared" si="49"/>
        <v>82</v>
      </c>
      <c r="AG235" s="177">
        <f t="shared" si="50"/>
        <v>74</v>
      </c>
      <c r="AH235" s="177">
        <f t="shared" si="51"/>
        <v>74</v>
      </c>
      <c r="AI235" s="177">
        <f t="shared" si="52"/>
        <v>74</v>
      </c>
    </row>
    <row r="236" spans="15:35" x14ac:dyDescent="0.25">
      <c r="O236" s="180">
        <f t="shared" si="53"/>
        <v>45707</v>
      </c>
      <c r="P236" s="181">
        <f t="shared" si="46"/>
        <v>4</v>
      </c>
      <c r="Q236" s="26">
        <v>1</v>
      </c>
      <c r="R236" s="26">
        <v>1</v>
      </c>
      <c r="S236" s="26">
        <v>1</v>
      </c>
      <c r="T236" s="26">
        <v>1</v>
      </c>
      <c r="U236" s="26">
        <v>1</v>
      </c>
      <c r="V236" s="180">
        <f t="shared" si="47"/>
        <v>45707</v>
      </c>
      <c r="W236" s="181">
        <f t="shared" si="45"/>
        <v>4</v>
      </c>
      <c r="Z236" t="s">
        <v>12</v>
      </c>
      <c r="AC236" t="s">
        <v>410</v>
      </c>
      <c r="AD236" s="180">
        <f t="shared" si="54"/>
        <v>45707</v>
      </c>
      <c r="AE236" s="177">
        <f t="shared" si="48"/>
        <v>81</v>
      </c>
      <c r="AF236" s="177">
        <f t="shared" si="49"/>
        <v>81</v>
      </c>
      <c r="AG236" s="177">
        <f t="shared" si="50"/>
        <v>73</v>
      </c>
      <c r="AH236" s="177">
        <f t="shared" si="51"/>
        <v>73</v>
      </c>
      <c r="AI236" s="177">
        <f t="shared" si="52"/>
        <v>73</v>
      </c>
    </row>
    <row r="237" spans="15:35" x14ac:dyDescent="0.25">
      <c r="O237" s="180">
        <f t="shared" si="53"/>
        <v>45708</v>
      </c>
      <c r="P237" s="181">
        <f t="shared" si="46"/>
        <v>5</v>
      </c>
      <c r="Q237" s="26">
        <f t="shared" si="43"/>
        <v>1</v>
      </c>
      <c r="R237" s="26">
        <f t="shared" si="43"/>
        <v>1</v>
      </c>
      <c r="S237" s="26">
        <f t="shared" ref="R237:U239" si="56">IF(OR($P237=2,$P237=3,$P237=4,$P237=5,$P237=6),1,"")</f>
        <v>1</v>
      </c>
      <c r="T237" s="26">
        <f t="shared" si="56"/>
        <v>1</v>
      </c>
      <c r="U237" s="26">
        <f t="shared" si="56"/>
        <v>1</v>
      </c>
      <c r="V237" s="180">
        <f t="shared" si="47"/>
        <v>45708</v>
      </c>
      <c r="W237" s="181">
        <f t="shared" si="45"/>
        <v>5</v>
      </c>
      <c r="Z237" t="s">
        <v>12</v>
      </c>
      <c r="AC237" t="s">
        <v>13</v>
      </c>
      <c r="AD237" s="180">
        <f t="shared" si="54"/>
        <v>45708</v>
      </c>
      <c r="AE237" s="177">
        <f t="shared" si="48"/>
        <v>80</v>
      </c>
      <c r="AF237" s="177">
        <f t="shared" si="49"/>
        <v>80</v>
      </c>
      <c r="AG237" s="177">
        <f t="shared" si="50"/>
        <v>72</v>
      </c>
      <c r="AH237" s="177">
        <f t="shared" si="51"/>
        <v>72</v>
      </c>
      <c r="AI237" s="177">
        <f t="shared" si="52"/>
        <v>72</v>
      </c>
    </row>
    <row r="238" spans="15:35" x14ac:dyDescent="0.25">
      <c r="O238" s="180">
        <f t="shared" si="53"/>
        <v>45709</v>
      </c>
      <c r="P238" s="181">
        <f t="shared" si="46"/>
        <v>6</v>
      </c>
      <c r="Q238" s="26">
        <f t="shared" si="43"/>
        <v>1</v>
      </c>
      <c r="R238" s="26">
        <f t="shared" si="56"/>
        <v>1</v>
      </c>
      <c r="S238" s="26">
        <f t="shared" si="56"/>
        <v>1</v>
      </c>
      <c r="T238" s="26">
        <f t="shared" si="56"/>
        <v>1</v>
      </c>
      <c r="U238" s="26">
        <f t="shared" si="56"/>
        <v>1</v>
      </c>
      <c r="V238" s="180">
        <f t="shared" si="47"/>
        <v>45709</v>
      </c>
      <c r="W238" s="181">
        <f t="shared" si="45"/>
        <v>6</v>
      </c>
      <c r="X238" t="s">
        <v>474</v>
      </c>
      <c r="Y238" t="s">
        <v>474</v>
      </c>
      <c r="Z238" t="s">
        <v>474</v>
      </c>
      <c r="AC238" t="s">
        <v>410</v>
      </c>
      <c r="AD238" s="180">
        <f t="shared" si="54"/>
        <v>45709</v>
      </c>
      <c r="AE238" s="177">
        <f t="shared" si="48"/>
        <v>79</v>
      </c>
      <c r="AF238" s="177">
        <f t="shared" si="49"/>
        <v>79</v>
      </c>
      <c r="AG238" s="177">
        <f t="shared" si="50"/>
        <v>71</v>
      </c>
      <c r="AH238" s="177">
        <f t="shared" si="51"/>
        <v>71</v>
      </c>
      <c r="AI238" s="177">
        <f t="shared" si="52"/>
        <v>71</v>
      </c>
    </row>
    <row r="239" spans="15:35" x14ac:dyDescent="0.25">
      <c r="O239" s="180">
        <f t="shared" si="53"/>
        <v>45710</v>
      </c>
      <c r="P239" s="181">
        <f t="shared" si="46"/>
        <v>7</v>
      </c>
      <c r="Q239" s="26" t="str">
        <f t="shared" si="43"/>
        <v/>
      </c>
      <c r="R239" s="26" t="str">
        <f t="shared" si="56"/>
        <v/>
      </c>
      <c r="S239" s="26" t="str">
        <f t="shared" si="56"/>
        <v/>
      </c>
      <c r="T239" s="26" t="str">
        <f t="shared" si="56"/>
        <v/>
      </c>
      <c r="U239" s="26" t="str">
        <f t="shared" si="56"/>
        <v/>
      </c>
      <c r="V239" s="180">
        <f t="shared" si="47"/>
        <v>45710</v>
      </c>
      <c r="W239" s="181">
        <f t="shared" si="45"/>
        <v>7</v>
      </c>
      <c r="AD239" s="180">
        <f t="shared" si="54"/>
        <v>45710</v>
      </c>
      <c r="AE239" s="177">
        <f t="shared" si="48"/>
        <v>79</v>
      </c>
      <c r="AF239" s="177">
        <f t="shared" si="49"/>
        <v>79</v>
      </c>
      <c r="AG239" s="177">
        <f t="shared" si="50"/>
        <v>71</v>
      </c>
      <c r="AH239" s="177">
        <f t="shared" si="51"/>
        <v>71</v>
      </c>
      <c r="AI239" s="177">
        <f t="shared" si="52"/>
        <v>71</v>
      </c>
    </row>
    <row r="240" spans="15:35" x14ac:dyDescent="0.25">
      <c r="O240" s="180">
        <f t="shared" si="53"/>
        <v>45711</v>
      </c>
      <c r="P240" s="181">
        <f t="shared" si="46"/>
        <v>1</v>
      </c>
      <c r="Q240" s="26" t="str">
        <f t="shared" ref="Q240:U290" si="57">IF(OR($P240=2,$P240=3,$P240=4,$P240=5,$P240=6),1,"")</f>
        <v/>
      </c>
      <c r="R240" s="26" t="str">
        <f t="shared" si="57"/>
        <v/>
      </c>
      <c r="S240" s="26" t="str">
        <f t="shared" si="57"/>
        <v/>
      </c>
      <c r="T240" s="26" t="str">
        <f t="shared" si="57"/>
        <v/>
      </c>
      <c r="U240" s="26" t="str">
        <f t="shared" si="57"/>
        <v/>
      </c>
      <c r="V240" s="180">
        <f t="shared" si="47"/>
        <v>45711</v>
      </c>
      <c r="W240" s="181">
        <f t="shared" si="45"/>
        <v>1</v>
      </c>
      <c r="AD240" s="180">
        <f t="shared" si="54"/>
        <v>45711</v>
      </c>
      <c r="AE240" s="177">
        <f t="shared" si="48"/>
        <v>79</v>
      </c>
      <c r="AF240" s="177">
        <f t="shared" si="49"/>
        <v>79</v>
      </c>
      <c r="AG240" s="177">
        <f t="shared" si="50"/>
        <v>71</v>
      </c>
      <c r="AH240" s="177">
        <f t="shared" si="51"/>
        <v>71</v>
      </c>
      <c r="AI240" s="177">
        <f t="shared" si="52"/>
        <v>71</v>
      </c>
    </row>
    <row r="241" spans="15:35" x14ac:dyDescent="0.25">
      <c r="O241" s="180">
        <f t="shared" si="53"/>
        <v>45712</v>
      </c>
      <c r="P241" s="181">
        <f t="shared" si="46"/>
        <v>2</v>
      </c>
      <c r="Q241" s="26">
        <f t="shared" si="57"/>
        <v>1</v>
      </c>
      <c r="R241" s="26">
        <f t="shared" si="57"/>
        <v>1</v>
      </c>
      <c r="S241" s="26">
        <f t="shared" si="57"/>
        <v>1</v>
      </c>
      <c r="T241" s="26">
        <f t="shared" si="57"/>
        <v>1</v>
      </c>
      <c r="U241" s="26">
        <f t="shared" si="57"/>
        <v>1</v>
      </c>
      <c r="V241" s="180">
        <f t="shared" si="47"/>
        <v>45712</v>
      </c>
      <c r="W241" s="181">
        <f t="shared" si="45"/>
        <v>2</v>
      </c>
      <c r="AC241" t="s">
        <v>13</v>
      </c>
      <c r="AD241" s="180">
        <f t="shared" si="54"/>
        <v>45712</v>
      </c>
      <c r="AE241" s="177">
        <f t="shared" si="48"/>
        <v>78</v>
      </c>
      <c r="AF241" s="177">
        <f t="shared" si="49"/>
        <v>78</v>
      </c>
      <c r="AG241" s="177">
        <f t="shared" si="50"/>
        <v>70</v>
      </c>
      <c r="AH241" s="177">
        <f t="shared" si="51"/>
        <v>70</v>
      </c>
      <c r="AI241" s="177">
        <f t="shared" si="52"/>
        <v>70</v>
      </c>
    </row>
    <row r="242" spans="15:35" x14ac:dyDescent="0.25">
      <c r="O242" s="180">
        <f t="shared" si="53"/>
        <v>45713</v>
      </c>
      <c r="P242" s="181">
        <f t="shared" si="46"/>
        <v>3</v>
      </c>
      <c r="Q242" s="26">
        <f t="shared" si="57"/>
        <v>1</v>
      </c>
      <c r="R242" s="26">
        <f t="shared" si="57"/>
        <v>1</v>
      </c>
      <c r="S242" s="26">
        <f t="shared" si="57"/>
        <v>1</v>
      </c>
      <c r="T242" s="26">
        <f t="shared" si="57"/>
        <v>1</v>
      </c>
      <c r="U242" s="26">
        <f t="shared" si="57"/>
        <v>1</v>
      </c>
      <c r="V242" s="180">
        <f t="shared" si="47"/>
        <v>45713</v>
      </c>
      <c r="W242" s="181">
        <f t="shared" si="45"/>
        <v>3</v>
      </c>
      <c r="AC242" t="s">
        <v>410</v>
      </c>
      <c r="AD242" s="180">
        <f t="shared" si="54"/>
        <v>45713</v>
      </c>
      <c r="AE242" s="177">
        <f t="shared" si="48"/>
        <v>77</v>
      </c>
      <c r="AF242" s="177">
        <f t="shared" si="49"/>
        <v>77</v>
      </c>
      <c r="AG242" s="177">
        <f t="shared" si="50"/>
        <v>69</v>
      </c>
      <c r="AH242" s="177">
        <f t="shared" si="51"/>
        <v>69</v>
      </c>
      <c r="AI242" s="177">
        <f t="shared" si="52"/>
        <v>69</v>
      </c>
    </row>
    <row r="243" spans="15:35" x14ac:dyDescent="0.25">
      <c r="O243" s="180">
        <f t="shared" si="53"/>
        <v>45714</v>
      </c>
      <c r="P243" s="181">
        <f t="shared" si="46"/>
        <v>4</v>
      </c>
      <c r="Q243" s="26">
        <f t="shared" si="57"/>
        <v>1</v>
      </c>
      <c r="R243" s="26">
        <f t="shared" si="57"/>
        <v>1</v>
      </c>
      <c r="S243" s="26">
        <f t="shared" si="57"/>
        <v>1</v>
      </c>
      <c r="T243" s="26">
        <f t="shared" si="57"/>
        <v>1</v>
      </c>
      <c r="U243" s="26">
        <f t="shared" si="57"/>
        <v>1</v>
      </c>
      <c r="V243" s="180">
        <f t="shared" si="47"/>
        <v>45714</v>
      </c>
      <c r="W243" s="181">
        <f t="shared" si="45"/>
        <v>4</v>
      </c>
      <c r="AC243" t="s">
        <v>13</v>
      </c>
      <c r="AD243" s="180">
        <f t="shared" si="54"/>
        <v>45714</v>
      </c>
      <c r="AE243" s="177">
        <f t="shared" si="48"/>
        <v>76</v>
      </c>
      <c r="AF243" s="177">
        <f t="shared" si="49"/>
        <v>76</v>
      </c>
      <c r="AG243" s="177">
        <f t="shared" si="50"/>
        <v>68</v>
      </c>
      <c r="AH243" s="177">
        <f t="shared" si="51"/>
        <v>68</v>
      </c>
      <c r="AI243" s="177">
        <f t="shared" si="52"/>
        <v>68</v>
      </c>
    </row>
    <row r="244" spans="15:35" x14ac:dyDescent="0.25">
      <c r="O244" s="180">
        <f t="shared" si="53"/>
        <v>45715</v>
      </c>
      <c r="P244" s="181">
        <f t="shared" si="46"/>
        <v>5</v>
      </c>
      <c r="Q244" s="26">
        <f t="shared" si="57"/>
        <v>1</v>
      </c>
      <c r="R244" s="26">
        <f t="shared" si="57"/>
        <v>1</v>
      </c>
      <c r="S244" s="26">
        <f t="shared" si="57"/>
        <v>1</v>
      </c>
      <c r="T244" s="26">
        <f t="shared" si="57"/>
        <v>1</v>
      </c>
      <c r="U244" s="26">
        <f t="shared" si="57"/>
        <v>1</v>
      </c>
      <c r="V244" s="180">
        <f t="shared" si="47"/>
        <v>45715</v>
      </c>
      <c r="W244" s="181">
        <f t="shared" si="45"/>
        <v>5</v>
      </c>
      <c r="AC244" t="s">
        <v>410</v>
      </c>
      <c r="AD244" s="180">
        <f t="shared" si="54"/>
        <v>45715</v>
      </c>
      <c r="AE244" s="177">
        <f t="shared" si="48"/>
        <v>75</v>
      </c>
      <c r="AF244" s="177">
        <f t="shared" si="49"/>
        <v>75</v>
      </c>
      <c r="AG244" s="177">
        <f t="shared" si="50"/>
        <v>67</v>
      </c>
      <c r="AH244" s="177">
        <f t="shared" si="51"/>
        <v>67</v>
      </c>
      <c r="AI244" s="177">
        <f t="shared" si="52"/>
        <v>67</v>
      </c>
    </row>
    <row r="245" spans="15:35" x14ac:dyDescent="0.25">
      <c r="O245" s="180">
        <f t="shared" si="53"/>
        <v>45716</v>
      </c>
      <c r="P245" s="181">
        <f t="shared" si="46"/>
        <v>6</v>
      </c>
      <c r="Q245" s="26">
        <f t="shared" si="57"/>
        <v>1</v>
      </c>
      <c r="R245" s="26">
        <f t="shared" si="57"/>
        <v>1</v>
      </c>
      <c r="S245" s="26">
        <f t="shared" si="57"/>
        <v>1</v>
      </c>
      <c r="T245" s="26">
        <f t="shared" si="57"/>
        <v>1</v>
      </c>
      <c r="U245" s="26">
        <f t="shared" si="57"/>
        <v>1</v>
      </c>
      <c r="V245" s="180">
        <f t="shared" si="47"/>
        <v>45716</v>
      </c>
      <c r="W245" s="181">
        <f t="shared" si="45"/>
        <v>6</v>
      </c>
      <c r="AC245" t="s">
        <v>13</v>
      </c>
      <c r="AD245" s="180">
        <f t="shared" si="54"/>
        <v>45716</v>
      </c>
      <c r="AE245" s="177">
        <f t="shared" si="48"/>
        <v>74</v>
      </c>
      <c r="AF245" s="177">
        <f t="shared" si="49"/>
        <v>74</v>
      </c>
      <c r="AG245" s="177">
        <f t="shared" si="50"/>
        <v>66</v>
      </c>
      <c r="AH245" s="177">
        <f t="shared" si="51"/>
        <v>66</v>
      </c>
      <c r="AI245" s="177">
        <f t="shared" si="52"/>
        <v>66</v>
      </c>
    </row>
    <row r="246" spans="15:35" x14ac:dyDescent="0.25">
      <c r="O246" s="180">
        <f t="shared" si="53"/>
        <v>45717</v>
      </c>
      <c r="P246" s="181">
        <f t="shared" si="46"/>
        <v>7</v>
      </c>
      <c r="Q246" s="26" t="str">
        <f t="shared" si="57"/>
        <v/>
      </c>
      <c r="R246" s="26" t="str">
        <f t="shared" si="57"/>
        <v/>
      </c>
      <c r="S246" s="26" t="str">
        <f t="shared" si="57"/>
        <v/>
      </c>
      <c r="T246" s="26" t="str">
        <f t="shared" si="57"/>
        <v/>
      </c>
      <c r="U246" s="26" t="str">
        <f t="shared" si="57"/>
        <v/>
      </c>
      <c r="V246" s="180">
        <f t="shared" si="47"/>
        <v>45717</v>
      </c>
      <c r="W246" s="181">
        <f t="shared" si="45"/>
        <v>7</v>
      </c>
      <c r="AD246" s="180">
        <f t="shared" si="54"/>
        <v>45717</v>
      </c>
      <c r="AE246" s="177">
        <f t="shared" si="48"/>
        <v>74</v>
      </c>
      <c r="AF246" s="177">
        <f t="shared" si="49"/>
        <v>74</v>
      </c>
      <c r="AG246" s="177">
        <f t="shared" si="50"/>
        <v>66</v>
      </c>
      <c r="AH246" s="177">
        <f t="shared" si="51"/>
        <v>66</v>
      </c>
      <c r="AI246" s="177">
        <f t="shared" si="52"/>
        <v>66</v>
      </c>
    </row>
    <row r="247" spans="15:35" x14ac:dyDescent="0.25">
      <c r="O247" s="180">
        <f t="shared" si="53"/>
        <v>45718</v>
      </c>
      <c r="P247" s="181">
        <f t="shared" si="46"/>
        <v>1</v>
      </c>
      <c r="Q247" s="26" t="str">
        <f t="shared" si="57"/>
        <v/>
      </c>
      <c r="R247" s="26" t="str">
        <f t="shared" si="57"/>
        <v/>
      </c>
      <c r="S247" s="26" t="str">
        <f t="shared" si="57"/>
        <v/>
      </c>
      <c r="T247" s="26" t="str">
        <f t="shared" si="57"/>
        <v/>
      </c>
      <c r="U247" s="26" t="str">
        <f t="shared" si="57"/>
        <v/>
      </c>
      <c r="V247" s="180">
        <f t="shared" si="47"/>
        <v>45718</v>
      </c>
      <c r="W247" s="181">
        <f t="shared" si="45"/>
        <v>1</v>
      </c>
      <c r="AD247" s="180">
        <f t="shared" si="54"/>
        <v>45718</v>
      </c>
      <c r="AE247" s="177">
        <f t="shared" si="48"/>
        <v>74</v>
      </c>
      <c r="AF247" s="177">
        <f t="shared" si="49"/>
        <v>74</v>
      </c>
      <c r="AG247" s="177">
        <f t="shared" si="50"/>
        <v>66</v>
      </c>
      <c r="AH247" s="177">
        <f t="shared" si="51"/>
        <v>66</v>
      </c>
      <c r="AI247" s="177">
        <f t="shared" si="52"/>
        <v>66</v>
      </c>
    </row>
    <row r="248" spans="15:35" x14ac:dyDescent="0.25">
      <c r="O248" s="180">
        <f t="shared" si="53"/>
        <v>45719</v>
      </c>
      <c r="P248" s="181">
        <f t="shared" si="46"/>
        <v>2</v>
      </c>
      <c r="Q248" s="26">
        <f t="shared" si="57"/>
        <v>1</v>
      </c>
      <c r="R248" s="26">
        <f t="shared" si="57"/>
        <v>1</v>
      </c>
      <c r="S248" s="26">
        <f t="shared" si="57"/>
        <v>1</v>
      </c>
      <c r="T248" s="26">
        <f t="shared" si="57"/>
        <v>1</v>
      </c>
      <c r="U248" s="26">
        <f t="shared" si="57"/>
        <v>1</v>
      </c>
      <c r="V248" s="180">
        <f t="shared" si="47"/>
        <v>45719</v>
      </c>
      <c r="W248" s="181">
        <f t="shared" si="45"/>
        <v>2</v>
      </c>
      <c r="AC248" t="s">
        <v>410</v>
      </c>
      <c r="AD248" s="180">
        <f t="shared" si="54"/>
        <v>45719</v>
      </c>
      <c r="AE248" s="177">
        <f t="shared" si="48"/>
        <v>73</v>
      </c>
      <c r="AF248" s="177">
        <f t="shared" si="49"/>
        <v>73</v>
      </c>
      <c r="AG248" s="177">
        <f t="shared" si="50"/>
        <v>65</v>
      </c>
      <c r="AH248" s="177">
        <f t="shared" si="51"/>
        <v>65</v>
      </c>
      <c r="AI248" s="177">
        <f t="shared" si="52"/>
        <v>65</v>
      </c>
    </row>
    <row r="249" spans="15:35" x14ac:dyDescent="0.25">
      <c r="O249" s="180">
        <f t="shared" si="53"/>
        <v>45720</v>
      </c>
      <c r="P249" s="181">
        <f t="shared" si="46"/>
        <v>3</v>
      </c>
      <c r="Q249" s="26">
        <f t="shared" si="57"/>
        <v>1</v>
      </c>
      <c r="R249" s="26">
        <f t="shared" si="57"/>
        <v>1</v>
      </c>
      <c r="S249" s="26">
        <f t="shared" si="57"/>
        <v>1</v>
      </c>
      <c r="T249" s="26">
        <f t="shared" si="57"/>
        <v>1</v>
      </c>
      <c r="U249" s="26">
        <f t="shared" si="57"/>
        <v>1</v>
      </c>
      <c r="V249" s="180">
        <f t="shared" si="47"/>
        <v>45720</v>
      </c>
      <c r="W249" s="181">
        <f t="shared" si="45"/>
        <v>3</v>
      </c>
      <c r="AC249" t="s">
        <v>13</v>
      </c>
      <c r="AD249" s="180">
        <f t="shared" si="54"/>
        <v>45720</v>
      </c>
      <c r="AE249" s="177">
        <f t="shared" si="48"/>
        <v>72</v>
      </c>
      <c r="AF249" s="177">
        <f t="shared" si="49"/>
        <v>72</v>
      </c>
      <c r="AG249" s="177">
        <f t="shared" si="50"/>
        <v>64</v>
      </c>
      <c r="AH249" s="177">
        <f t="shared" si="51"/>
        <v>64</v>
      </c>
      <c r="AI249" s="177">
        <f t="shared" si="52"/>
        <v>64</v>
      </c>
    </row>
    <row r="250" spans="15:35" x14ac:dyDescent="0.25">
      <c r="O250" s="180">
        <f t="shared" si="53"/>
        <v>45721</v>
      </c>
      <c r="P250" s="181">
        <f t="shared" si="46"/>
        <v>4</v>
      </c>
      <c r="Q250" s="26">
        <f t="shared" si="57"/>
        <v>1</v>
      </c>
      <c r="R250" s="26">
        <f t="shared" si="57"/>
        <v>1</v>
      </c>
      <c r="S250" s="26">
        <f t="shared" si="57"/>
        <v>1</v>
      </c>
      <c r="T250" s="26">
        <f t="shared" si="57"/>
        <v>1</v>
      </c>
      <c r="U250" s="26">
        <f t="shared" si="57"/>
        <v>1</v>
      </c>
      <c r="V250" s="180">
        <f t="shared" si="47"/>
        <v>45721</v>
      </c>
      <c r="W250" s="181">
        <f t="shared" si="45"/>
        <v>4</v>
      </c>
      <c r="AC250" t="s">
        <v>410</v>
      </c>
      <c r="AD250" s="180">
        <f t="shared" si="54"/>
        <v>45721</v>
      </c>
      <c r="AE250" s="177">
        <f t="shared" si="48"/>
        <v>71</v>
      </c>
      <c r="AF250" s="177">
        <f t="shared" si="49"/>
        <v>71</v>
      </c>
      <c r="AG250" s="177">
        <f t="shared" si="50"/>
        <v>63</v>
      </c>
      <c r="AH250" s="177">
        <f t="shared" si="51"/>
        <v>63</v>
      </c>
      <c r="AI250" s="177">
        <f t="shared" si="52"/>
        <v>63</v>
      </c>
    </row>
    <row r="251" spans="15:35" x14ac:dyDescent="0.25">
      <c r="O251" s="180">
        <f t="shared" si="53"/>
        <v>45722</v>
      </c>
      <c r="P251" s="181">
        <f t="shared" si="46"/>
        <v>5</v>
      </c>
      <c r="Q251" s="26">
        <f t="shared" si="57"/>
        <v>1</v>
      </c>
      <c r="R251" s="26">
        <f t="shared" si="57"/>
        <v>1</v>
      </c>
      <c r="S251" s="26">
        <f t="shared" si="57"/>
        <v>1</v>
      </c>
      <c r="T251" s="26">
        <f t="shared" si="57"/>
        <v>1</v>
      </c>
      <c r="U251" s="26">
        <f t="shared" ref="U251:U290" si="58">IF(OR($P251=2,$P251=3,$P251=4,$P251=5,$P251=6),1,"")</f>
        <v>1</v>
      </c>
      <c r="V251" s="180">
        <f t="shared" si="47"/>
        <v>45722</v>
      </c>
      <c r="W251" s="181">
        <f t="shared" si="45"/>
        <v>5</v>
      </c>
      <c r="AC251" t="s">
        <v>13</v>
      </c>
      <c r="AD251" s="180">
        <f t="shared" si="54"/>
        <v>45722</v>
      </c>
      <c r="AE251" s="177">
        <f t="shared" si="48"/>
        <v>70</v>
      </c>
      <c r="AF251" s="177">
        <f t="shared" si="49"/>
        <v>70</v>
      </c>
      <c r="AG251" s="177">
        <f t="shared" si="50"/>
        <v>62</v>
      </c>
      <c r="AH251" s="177">
        <f t="shared" si="51"/>
        <v>62</v>
      </c>
      <c r="AI251" s="177">
        <f t="shared" si="52"/>
        <v>62</v>
      </c>
    </row>
    <row r="252" spans="15:35" x14ac:dyDescent="0.25">
      <c r="O252" s="180">
        <f t="shared" si="53"/>
        <v>45723</v>
      </c>
      <c r="P252" s="181">
        <f t="shared" si="46"/>
        <v>6</v>
      </c>
      <c r="Q252" s="26">
        <f t="shared" si="57"/>
        <v>1</v>
      </c>
      <c r="R252" s="26">
        <f t="shared" si="57"/>
        <v>1</v>
      </c>
      <c r="S252" s="26">
        <f t="shared" si="57"/>
        <v>1</v>
      </c>
      <c r="T252" s="26">
        <f t="shared" si="57"/>
        <v>1</v>
      </c>
      <c r="U252" s="26">
        <f t="shared" si="58"/>
        <v>1</v>
      </c>
      <c r="V252" s="180">
        <f t="shared" si="47"/>
        <v>45723</v>
      </c>
      <c r="W252" s="181">
        <f t="shared" si="45"/>
        <v>6</v>
      </c>
      <c r="AC252" t="s">
        <v>410</v>
      </c>
      <c r="AD252" s="180">
        <f t="shared" si="54"/>
        <v>45723</v>
      </c>
      <c r="AE252" s="177">
        <f t="shared" si="48"/>
        <v>69</v>
      </c>
      <c r="AF252" s="177">
        <f t="shared" si="49"/>
        <v>69</v>
      </c>
      <c r="AG252" s="177">
        <f t="shared" si="50"/>
        <v>61</v>
      </c>
      <c r="AH252" s="177">
        <f t="shared" si="51"/>
        <v>61</v>
      </c>
      <c r="AI252" s="177">
        <f t="shared" si="52"/>
        <v>61</v>
      </c>
    </row>
    <row r="253" spans="15:35" x14ac:dyDescent="0.25">
      <c r="O253" s="180">
        <f t="shared" si="53"/>
        <v>45724</v>
      </c>
      <c r="P253" s="181">
        <f t="shared" si="46"/>
        <v>7</v>
      </c>
      <c r="Q253" s="26" t="str">
        <f t="shared" si="57"/>
        <v/>
      </c>
      <c r="R253" s="26" t="str">
        <f t="shared" si="57"/>
        <v/>
      </c>
      <c r="S253" s="26" t="str">
        <f t="shared" si="57"/>
        <v/>
      </c>
      <c r="T253" s="26" t="str">
        <f t="shared" si="57"/>
        <v/>
      </c>
      <c r="U253" s="26" t="str">
        <f t="shared" si="58"/>
        <v/>
      </c>
      <c r="V253" s="180">
        <f t="shared" si="47"/>
        <v>45724</v>
      </c>
      <c r="W253" s="181">
        <f t="shared" si="45"/>
        <v>7</v>
      </c>
      <c r="AD253" s="180">
        <f t="shared" si="54"/>
        <v>45724</v>
      </c>
      <c r="AE253" s="177">
        <f t="shared" si="48"/>
        <v>69</v>
      </c>
      <c r="AF253" s="177">
        <f t="shared" si="49"/>
        <v>69</v>
      </c>
      <c r="AG253" s="177">
        <f t="shared" si="50"/>
        <v>61</v>
      </c>
      <c r="AH253" s="177">
        <f t="shared" si="51"/>
        <v>61</v>
      </c>
      <c r="AI253" s="177">
        <f t="shared" si="52"/>
        <v>61</v>
      </c>
    </row>
    <row r="254" spans="15:35" x14ac:dyDescent="0.25">
      <c r="O254" s="180">
        <f t="shared" si="53"/>
        <v>45725</v>
      </c>
      <c r="P254" s="181">
        <f t="shared" si="46"/>
        <v>1</v>
      </c>
      <c r="Q254" s="26" t="str">
        <f t="shared" si="57"/>
        <v/>
      </c>
      <c r="R254" s="26" t="str">
        <f t="shared" si="57"/>
        <v/>
      </c>
      <c r="S254" s="26" t="str">
        <f t="shared" si="57"/>
        <v/>
      </c>
      <c r="T254" s="26" t="str">
        <f t="shared" si="57"/>
        <v/>
      </c>
      <c r="U254" s="26" t="str">
        <f t="shared" si="58"/>
        <v/>
      </c>
      <c r="V254" s="180">
        <f t="shared" si="47"/>
        <v>45725</v>
      </c>
      <c r="W254" s="181">
        <f t="shared" si="45"/>
        <v>1</v>
      </c>
      <c r="AD254" s="180">
        <f t="shared" si="54"/>
        <v>45725</v>
      </c>
      <c r="AE254" s="177">
        <f t="shared" si="48"/>
        <v>69</v>
      </c>
      <c r="AF254" s="177">
        <f t="shared" si="49"/>
        <v>69</v>
      </c>
      <c r="AG254" s="177">
        <f t="shared" si="50"/>
        <v>61</v>
      </c>
      <c r="AH254" s="177">
        <f t="shared" si="51"/>
        <v>61</v>
      </c>
      <c r="AI254" s="177">
        <f t="shared" si="52"/>
        <v>61</v>
      </c>
    </row>
    <row r="255" spans="15:35" x14ac:dyDescent="0.25">
      <c r="O255" s="180">
        <f t="shared" si="53"/>
        <v>45726</v>
      </c>
      <c r="P255" s="181">
        <f t="shared" si="46"/>
        <v>2</v>
      </c>
      <c r="Q255" s="26">
        <f t="shared" si="57"/>
        <v>1</v>
      </c>
      <c r="R255" s="26">
        <f t="shared" si="57"/>
        <v>1</v>
      </c>
      <c r="S255" s="26">
        <f t="shared" si="57"/>
        <v>1</v>
      </c>
      <c r="T255" s="26">
        <f t="shared" si="57"/>
        <v>1</v>
      </c>
      <c r="U255" s="26">
        <f t="shared" si="58"/>
        <v>1</v>
      </c>
      <c r="V255" s="180">
        <f t="shared" si="47"/>
        <v>45726</v>
      </c>
      <c r="W255" s="181">
        <f t="shared" si="45"/>
        <v>2</v>
      </c>
      <c r="AC255" t="s">
        <v>13</v>
      </c>
      <c r="AD255" s="180">
        <f t="shared" si="54"/>
        <v>45726</v>
      </c>
      <c r="AE255" s="177">
        <f t="shared" si="48"/>
        <v>68</v>
      </c>
      <c r="AF255" s="177">
        <f t="shared" si="49"/>
        <v>68</v>
      </c>
      <c r="AG255" s="177">
        <f t="shared" si="50"/>
        <v>60</v>
      </c>
      <c r="AH255" s="177">
        <f t="shared" si="51"/>
        <v>60</v>
      </c>
      <c r="AI255" s="177">
        <f t="shared" si="52"/>
        <v>60</v>
      </c>
    </row>
    <row r="256" spans="15:35" x14ac:dyDescent="0.25">
      <c r="O256" s="180">
        <f t="shared" si="53"/>
        <v>45727</v>
      </c>
      <c r="P256" s="181">
        <f t="shared" si="46"/>
        <v>3</v>
      </c>
      <c r="Q256" s="26">
        <f t="shared" si="57"/>
        <v>1</v>
      </c>
      <c r="R256" s="26">
        <f t="shared" si="57"/>
        <v>1</v>
      </c>
      <c r="S256" s="26">
        <f t="shared" si="57"/>
        <v>1</v>
      </c>
      <c r="T256" s="26">
        <f t="shared" si="57"/>
        <v>1</v>
      </c>
      <c r="U256" s="26">
        <f t="shared" si="58"/>
        <v>1</v>
      </c>
      <c r="V256" s="180">
        <f t="shared" si="47"/>
        <v>45727</v>
      </c>
      <c r="W256" s="181">
        <f t="shared" si="45"/>
        <v>3</v>
      </c>
      <c r="AC256" t="s">
        <v>411</v>
      </c>
      <c r="AD256" s="180">
        <f t="shared" si="54"/>
        <v>45727</v>
      </c>
      <c r="AE256" s="177">
        <f t="shared" si="48"/>
        <v>67</v>
      </c>
      <c r="AF256" s="177">
        <f t="shared" si="49"/>
        <v>67</v>
      </c>
      <c r="AG256" s="177">
        <f t="shared" si="50"/>
        <v>59</v>
      </c>
      <c r="AH256" s="177">
        <f t="shared" si="51"/>
        <v>59</v>
      </c>
      <c r="AI256" s="177">
        <f t="shared" si="52"/>
        <v>59</v>
      </c>
    </row>
    <row r="257" spans="15:35" x14ac:dyDescent="0.25">
      <c r="O257" s="180">
        <f t="shared" si="53"/>
        <v>45728</v>
      </c>
      <c r="P257" s="181">
        <f t="shared" si="46"/>
        <v>4</v>
      </c>
      <c r="Q257" s="26">
        <f t="shared" si="57"/>
        <v>1</v>
      </c>
      <c r="R257" s="26">
        <f t="shared" si="57"/>
        <v>1</v>
      </c>
      <c r="S257" s="26">
        <f t="shared" si="57"/>
        <v>1</v>
      </c>
      <c r="T257" s="26">
        <f t="shared" si="57"/>
        <v>1</v>
      </c>
      <c r="U257" s="26">
        <f t="shared" si="58"/>
        <v>1</v>
      </c>
      <c r="V257" s="180">
        <f t="shared" si="47"/>
        <v>45728</v>
      </c>
      <c r="W257" s="181">
        <f t="shared" si="45"/>
        <v>4</v>
      </c>
      <c r="AC257" t="s">
        <v>410</v>
      </c>
      <c r="AD257" s="180">
        <f t="shared" si="54"/>
        <v>45728</v>
      </c>
      <c r="AE257" s="177">
        <f t="shared" si="48"/>
        <v>66</v>
      </c>
      <c r="AF257" s="177">
        <f t="shared" si="49"/>
        <v>66</v>
      </c>
      <c r="AG257" s="177">
        <f t="shared" si="50"/>
        <v>58</v>
      </c>
      <c r="AH257" s="177">
        <f t="shared" si="51"/>
        <v>58</v>
      </c>
      <c r="AI257" s="177">
        <f t="shared" si="52"/>
        <v>58</v>
      </c>
    </row>
    <row r="258" spans="15:35" x14ac:dyDescent="0.25">
      <c r="O258" s="180">
        <f t="shared" si="53"/>
        <v>45729</v>
      </c>
      <c r="P258" s="181">
        <f t="shared" si="46"/>
        <v>5</v>
      </c>
      <c r="Q258" s="26">
        <f t="shared" si="57"/>
        <v>1</v>
      </c>
      <c r="R258" s="26">
        <f t="shared" si="57"/>
        <v>1</v>
      </c>
      <c r="S258" s="26">
        <f t="shared" si="57"/>
        <v>1</v>
      </c>
      <c r="T258" s="26">
        <f t="shared" si="57"/>
        <v>1</v>
      </c>
      <c r="U258" s="26">
        <f t="shared" si="58"/>
        <v>1</v>
      </c>
      <c r="V258" s="180">
        <f t="shared" si="47"/>
        <v>45729</v>
      </c>
      <c r="W258" s="181">
        <f t="shared" si="45"/>
        <v>5</v>
      </c>
      <c r="AC258" t="s">
        <v>13</v>
      </c>
      <c r="AD258" s="180">
        <f t="shared" si="54"/>
        <v>45729</v>
      </c>
      <c r="AE258" s="177">
        <f t="shared" si="48"/>
        <v>65</v>
      </c>
      <c r="AF258" s="177">
        <f t="shared" si="49"/>
        <v>65</v>
      </c>
      <c r="AG258" s="177">
        <f t="shared" si="50"/>
        <v>57</v>
      </c>
      <c r="AH258" s="177">
        <f t="shared" si="51"/>
        <v>57</v>
      </c>
      <c r="AI258" s="177">
        <f t="shared" si="52"/>
        <v>57</v>
      </c>
    </row>
    <row r="259" spans="15:35" x14ac:dyDescent="0.25">
      <c r="O259" s="180">
        <f t="shared" si="53"/>
        <v>45730</v>
      </c>
      <c r="P259" s="181">
        <f t="shared" si="46"/>
        <v>6</v>
      </c>
      <c r="Q259" s="26">
        <f t="shared" si="57"/>
        <v>1</v>
      </c>
      <c r="R259" s="26">
        <f t="shared" si="57"/>
        <v>1</v>
      </c>
      <c r="S259" s="26">
        <f t="shared" si="57"/>
        <v>1</v>
      </c>
      <c r="T259" s="26">
        <f t="shared" si="57"/>
        <v>1</v>
      </c>
      <c r="U259" s="26">
        <f t="shared" si="58"/>
        <v>1</v>
      </c>
      <c r="V259" s="180">
        <f t="shared" si="47"/>
        <v>45730</v>
      </c>
      <c r="W259" s="181">
        <f t="shared" ref="W259:W322" si="59">WEEKDAY(V259)</f>
        <v>6</v>
      </c>
      <c r="X259" t="s">
        <v>88</v>
      </c>
      <c r="Y259" t="s">
        <v>88</v>
      </c>
      <c r="Z259" t="s">
        <v>88</v>
      </c>
      <c r="AA259" t="s">
        <v>88</v>
      </c>
      <c r="AB259" t="s">
        <v>88</v>
      </c>
      <c r="AD259" s="180">
        <f t="shared" si="54"/>
        <v>45730</v>
      </c>
      <c r="AE259" s="177">
        <f t="shared" si="48"/>
        <v>64</v>
      </c>
      <c r="AF259" s="177">
        <f t="shared" si="49"/>
        <v>64</v>
      </c>
      <c r="AG259" s="177">
        <f t="shared" si="50"/>
        <v>56</v>
      </c>
      <c r="AH259" s="177">
        <f t="shared" si="51"/>
        <v>56</v>
      </c>
      <c r="AI259" s="177">
        <f t="shared" si="52"/>
        <v>56</v>
      </c>
    </row>
    <row r="260" spans="15:35" x14ac:dyDescent="0.25">
      <c r="O260" s="180">
        <f t="shared" si="53"/>
        <v>45731</v>
      </c>
      <c r="P260" s="181">
        <f t="shared" ref="P260:P323" si="60">WEEKDAY(O260)</f>
        <v>7</v>
      </c>
      <c r="Q260" s="26" t="str">
        <f t="shared" si="57"/>
        <v/>
      </c>
      <c r="R260" s="26" t="str">
        <f t="shared" si="57"/>
        <v/>
      </c>
      <c r="S260" s="26" t="str">
        <f t="shared" si="57"/>
        <v/>
      </c>
      <c r="T260" s="26" t="str">
        <f t="shared" si="57"/>
        <v/>
      </c>
      <c r="U260" s="26" t="str">
        <f t="shared" si="58"/>
        <v/>
      </c>
      <c r="V260" s="180">
        <f t="shared" ref="V260:V323" si="61">V259+1</f>
        <v>45731</v>
      </c>
      <c r="W260" s="181">
        <f t="shared" si="59"/>
        <v>7</v>
      </c>
      <c r="AD260" s="180">
        <f t="shared" si="54"/>
        <v>45731</v>
      </c>
      <c r="AE260" s="177">
        <f t="shared" si="48"/>
        <v>64</v>
      </c>
      <c r="AF260" s="177">
        <f t="shared" si="49"/>
        <v>64</v>
      </c>
      <c r="AG260" s="177">
        <f t="shared" si="50"/>
        <v>56</v>
      </c>
      <c r="AH260" s="177">
        <f t="shared" si="51"/>
        <v>56</v>
      </c>
      <c r="AI260" s="177">
        <f t="shared" si="52"/>
        <v>56</v>
      </c>
    </row>
    <row r="261" spans="15:35" x14ac:dyDescent="0.25">
      <c r="O261" s="180">
        <f t="shared" si="53"/>
        <v>45732</v>
      </c>
      <c r="P261" s="181">
        <f t="shared" si="60"/>
        <v>1</v>
      </c>
      <c r="Q261" s="26" t="str">
        <f t="shared" si="57"/>
        <v/>
      </c>
      <c r="R261" s="26" t="str">
        <f t="shared" si="57"/>
        <v/>
      </c>
      <c r="S261" s="26" t="str">
        <f t="shared" si="57"/>
        <v/>
      </c>
      <c r="T261" s="26" t="str">
        <f t="shared" si="57"/>
        <v/>
      </c>
      <c r="U261" s="26" t="str">
        <f t="shared" si="58"/>
        <v/>
      </c>
      <c r="V261" s="180">
        <f t="shared" si="61"/>
        <v>45732</v>
      </c>
      <c r="W261" s="181">
        <f t="shared" si="59"/>
        <v>1</v>
      </c>
      <c r="AD261" s="180">
        <f t="shared" si="54"/>
        <v>45732</v>
      </c>
      <c r="AE261" s="177">
        <f t="shared" ref="AE261:AE324" si="62">AE260-(IF(Q261=1,1,0))</f>
        <v>64</v>
      </c>
      <c r="AF261" s="177">
        <f t="shared" ref="AF261:AF324" si="63">AF260-(IF(R261=1,1,0))</f>
        <v>64</v>
      </c>
      <c r="AG261" s="177">
        <f t="shared" ref="AG261:AG324" si="64">AG260-(IF(S261=1,1,0))</f>
        <v>56</v>
      </c>
      <c r="AH261" s="177">
        <f t="shared" ref="AH261:AH324" si="65">AH260-(IF(T261=1,1,0))</f>
        <v>56</v>
      </c>
      <c r="AI261" s="177">
        <f t="shared" ref="AI261:AI324" si="66">AI260-(IF(U261=1,1,0))</f>
        <v>56</v>
      </c>
    </row>
    <row r="262" spans="15:35" x14ac:dyDescent="0.25">
      <c r="O262" s="180">
        <f t="shared" ref="O262:O325" si="67">O261+1</f>
        <v>45733</v>
      </c>
      <c r="P262" s="181">
        <f t="shared" si="60"/>
        <v>2</v>
      </c>
      <c r="Q262" s="26">
        <f t="shared" si="57"/>
        <v>1</v>
      </c>
      <c r="R262" s="26">
        <f t="shared" si="57"/>
        <v>1</v>
      </c>
      <c r="S262" s="26">
        <f t="shared" si="57"/>
        <v>1</v>
      </c>
      <c r="T262" s="26">
        <f t="shared" si="57"/>
        <v>1</v>
      </c>
      <c r="U262" s="26">
        <f t="shared" si="58"/>
        <v>1</v>
      </c>
      <c r="V262" s="180">
        <f t="shared" si="61"/>
        <v>45733</v>
      </c>
      <c r="W262" s="181">
        <f t="shared" si="59"/>
        <v>2</v>
      </c>
      <c r="AC262" t="s">
        <v>410</v>
      </c>
      <c r="AD262" s="180">
        <f t="shared" ref="AD262:AD325" si="68">AD261+1</f>
        <v>45733</v>
      </c>
      <c r="AE262" s="177">
        <f t="shared" si="62"/>
        <v>63</v>
      </c>
      <c r="AF262" s="177">
        <f t="shared" si="63"/>
        <v>63</v>
      </c>
      <c r="AG262" s="177">
        <f t="shared" si="64"/>
        <v>55</v>
      </c>
      <c r="AH262" s="177">
        <f t="shared" si="65"/>
        <v>55</v>
      </c>
      <c r="AI262" s="177">
        <f t="shared" si="66"/>
        <v>55</v>
      </c>
    </row>
    <row r="263" spans="15:35" x14ac:dyDescent="0.25">
      <c r="O263" s="180">
        <f t="shared" si="67"/>
        <v>45734</v>
      </c>
      <c r="P263" s="181">
        <f t="shared" si="60"/>
        <v>3</v>
      </c>
      <c r="Q263" s="26">
        <f t="shared" si="57"/>
        <v>1</v>
      </c>
      <c r="R263" s="26">
        <f t="shared" si="57"/>
        <v>1</v>
      </c>
      <c r="S263" s="26">
        <f t="shared" si="57"/>
        <v>1</v>
      </c>
      <c r="T263" s="26">
        <f t="shared" si="57"/>
        <v>1</v>
      </c>
      <c r="U263" s="26">
        <f t="shared" si="58"/>
        <v>1</v>
      </c>
      <c r="V263" s="180">
        <f t="shared" si="61"/>
        <v>45734</v>
      </c>
      <c r="W263" s="181">
        <f t="shared" si="59"/>
        <v>3</v>
      </c>
      <c r="AC263" t="s">
        <v>13</v>
      </c>
      <c r="AD263" s="180">
        <f t="shared" si="68"/>
        <v>45734</v>
      </c>
      <c r="AE263" s="177">
        <f t="shared" si="62"/>
        <v>62</v>
      </c>
      <c r="AF263" s="177">
        <f t="shared" si="63"/>
        <v>62</v>
      </c>
      <c r="AG263" s="177">
        <f t="shared" si="64"/>
        <v>54</v>
      </c>
      <c r="AH263" s="177">
        <f t="shared" si="65"/>
        <v>54</v>
      </c>
      <c r="AI263" s="177">
        <f t="shared" si="66"/>
        <v>54</v>
      </c>
    </row>
    <row r="264" spans="15:35" x14ac:dyDescent="0.25">
      <c r="O264" s="180">
        <f t="shared" si="67"/>
        <v>45735</v>
      </c>
      <c r="P264" s="181">
        <f t="shared" si="60"/>
        <v>4</v>
      </c>
      <c r="Q264" s="26">
        <f t="shared" si="57"/>
        <v>1</v>
      </c>
      <c r="R264" s="26">
        <f t="shared" si="57"/>
        <v>1</v>
      </c>
      <c r="S264" s="26">
        <f t="shared" si="57"/>
        <v>1</v>
      </c>
      <c r="T264" s="26">
        <f t="shared" si="57"/>
        <v>1</v>
      </c>
      <c r="U264" s="26">
        <f t="shared" si="58"/>
        <v>1</v>
      </c>
      <c r="V264" s="180">
        <f t="shared" si="61"/>
        <v>45735</v>
      </c>
      <c r="W264" s="181">
        <f t="shared" si="59"/>
        <v>4</v>
      </c>
      <c r="AC264" t="s">
        <v>410</v>
      </c>
      <c r="AD264" s="180">
        <f t="shared" si="68"/>
        <v>45735</v>
      </c>
      <c r="AE264" s="177">
        <f t="shared" si="62"/>
        <v>61</v>
      </c>
      <c r="AF264" s="177">
        <f t="shared" si="63"/>
        <v>61</v>
      </c>
      <c r="AG264" s="177">
        <f t="shared" si="64"/>
        <v>53</v>
      </c>
      <c r="AH264" s="177">
        <f t="shared" si="65"/>
        <v>53</v>
      </c>
      <c r="AI264" s="177">
        <f t="shared" si="66"/>
        <v>53</v>
      </c>
    </row>
    <row r="265" spans="15:35" x14ac:dyDescent="0.25">
      <c r="O265" s="180">
        <f t="shared" si="67"/>
        <v>45736</v>
      </c>
      <c r="P265" s="181">
        <f t="shared" si="60"/>
        <v>5</v>
      </c>
      <c r="Q265" s="26">
        <f t="shared" si="57"/>
        <v>1</v>
      </c>
      <c r="R265" s="26">
        <f t="shared" si="57"/>
        <v>1</v>
      </c>
      <c r="S265" s="26">
        <f t="shared" si="57"/>
        <v>1</v>
      </c>
      <c r="T265" s="26">
        <f t="shared" si="57"/>
        <v>1</v>
      </c>
      <c r="U265" s="26">
        <f t="shared" si="58"/>
        <v>1</v>
      </c>
      <c r="V265" s="180">
        <f t="shared" si="61"/>
        <v>45736</v>
      </c>
      <c r="W265" s="181">
        <f t="shared" si="59"/>
        <v>5</v>
      </c>
      <c r="AC265" t="s">
        <v>13</v>
      </c>
      <c r="AD265" s="180">
        <f t="shared" si="68"/>
        <v>45736</v>
      </c>
      <c r="AE265" s="177">
        <f t="shared" si="62"/>
        <v>60</v>
      </c>
      <c r="AF265" s="177">
        <f t="shared" si="63"/>
        <v>60</v>
      </c>
      <c r="AG265" s="177">
        <f t="shared" si="64"/>
        <v>52</v>
      </c>
      <c r="AH265" s="177">
        <f t="shared" si="65"/>
        <v>52</v>
      </c>
      <c r="AI265" s="177">
        <f t="shared" si="66"/>
        <v>52</v>
      </c>
    </row>
    <row r="266" spans="15:35" x14ac:dyDescent="0.25">
      <c r="O266" s="180">
        <f t="shared" si="67"/>
        <v>45737</v>
      </c>
      <c r="P266" s="181">
        <f t="shared" si="60"/>
        <v>6</v>
      </c>
      <c r="Q266" s="26">
        <f t="shared" si="57"/>
        <v>1</v>
      </c>
      <c r="R266" s="26">
        <f t="shared" si="57"/>
        <v>1</v>
      </c>
      <c r="S266" s="26">
        <f t="shared" si="57"/>
        <v>1</v>
      </c>
      <c r="T266" s="26">
        <f t="shared" si="57"/>
        <v>1</v>
      </c>
      <c r="U266" s="26">
        <f t="shared" si="58"/>
        <v>1</v>
      </c>
      <c r="V266" s="180">
        <f t="shared" si="61"/>
        <v>45737</v>
      </c>
      <c r="W266" s="181">
        <f t="shared" si="59"/>
        <v>6</v>
      </c>
      <c r="AC266" t="s">
        <v>410</v>
      </c>
      <c r="AD266" s="180">
        <f t="shared" si="68"/>
        <v>45737</v>
      </c>
      <c r="AE266" s="177">
        <f t="shared" si="62"/>
        <v>59</v>
      </c>
      <c r="AF266" s="177">
        <f t="shared" si="63"/>
        <v>59</v>
      </c>
      <c r="AG266" s="177">
        <f t="shared" si="64"/>
        <v>51</v>
      </c>
      <c r="AH266" s="177">
        <f t="shared" si="65"/>
        <v>51</v>
      </c>
      <c r="AI266" s="177">
        <f t="shared" si="66"/>
        <v>51</v>
      </c>
    </row>
    <row r="267" spans="15:35" x14ac:dyDescent="0.25">
      <c r="O267" s="180">
        <f t="shared" si="67"/>
        <v>45738</v>
      </c>
      <c r="P267" s="181">
        <f t="shared" si="60"/>
        <v>7</v>
      </c>
      <c r="Q267" s="26" t="str">
        <f t="shared" si="57"/>
        <v/>
      </c>
      <c r="R267" s="26" t="str">
        <f t="shared" si="57"/>
        <v/>
      </c>
      <c r="S267" s="26" t="str">
        <f t="shared" si="57"/>
        <v/>
      </c>
      <c r="T267" s="26" t="str">
        <f t="shared" si="57"/>
        <v/>
      </c>
      <c r="U267" s="26" t="str">
        <f t="shared" si="58"/>
        <v/>
      </c>
      <c r="V267" s="180">
        <f t="shared" si="61"/>
        <v>45738</v>
      </c>
      <c r="W267" s="181">
        <f t="shared" si="59"/>
        <v>7</v>
      </c>
      <c r="AD267" s="180">
        <f t="shared" si="68"/>
        <v>45738</v>
      </c>
      <c r="AE267" s="177">
        <f t="shared" si="62"/>
        <v>59</v>
      </c>
      <c r="AF267" s="177">
        <f t="shared" si="63"/>
        <v>59</v>
      </c>
      <c r="AG267" s="177">
        <f t="shared" si="64"/>
        <v>51</v>
      </c>
      <c r="AH267" s="177">
        <f t="shared" si="65"/>
        <v>51</v>
      </c>
      <c r="AI267" s="177">
        <f t="shared" si="66"/>
        <v>51</v>
      </c>
    </row>
    <row r="268" spans="15:35" x14ac:dyDescent="0.25">
      <c r="O268" s="180">
        <f t="shared" si="67"/>
        <v>45739</v>
      </c>
      <c r="P268" s="181">
        <f t="shared" si="60"/>
        <v>1</v>
      </c>
      <c r="Q268" s="26" t="str">
        <f t="shared" si="57"/>
        <v/>
      </c>
      <c r="R268" s="26" t="str">
        <f t="shared" si="57"/>
        <v/>
      </c>
      <c r="S268" s="26" t="str">
        <f t="shared" si="57"/>
        <v/>
      </c>
      <c r="T268" s="26" t="str">
        <f t="shared" si="57"/>
        <v/>
      </c>
      <c r="U268" s="26" t="str">
        <f t="shared" si="58"/>
        <v/>
      </c>
      <c r="V268" s="180">
        <f t="shared" si="61"/>
        <v>45739</v>
      </c>
      <c r="W268" s="181">
        <f t="shared" si="59"/>
        <v>1</v>
      </c>
      <c r="AD268" s="180">
        <f t="shared" si="68"/>
        <v>45739</v>
      </c>
      <c r="AE268" s="177">
        <f t="shared" si="62"/>
        <v>59</v>
      </c>
      <c r="AF268" s="177">
        <f t="shared" si="63"/>
        <v>59</v>
      </c>
      <c r="AG268" s="177">
        <f t="shared" si="64"/>
        <v>51</v>
      </c>
      <c r="AH268" s="177">
        <f t="shared" si="65"/>
        <v>51</v>
      </c>
      <c r="AI268" s="177">
        <f t="shared" si="66"/>
        <v>51</v>
      </c>
    </row>
    <row r="269" spans="15:35" x14ac:dyDescent="0.25">
      <c r="O269" s="180">
        <f t="shared" si="67"/>
        <v>45740</v>
      </c>
      <c r="P269" s="181">
        <f t="shared" si="60"/>
        <v>2</v>
      </c>
      <c r="Q269" s="26">
        <f t="shared" si="57"/>
        <v>1</v>
      </c>
      <c r="R269" s="26">
        <f t="shared" si="57"/>
        <v>1</v>
      </c>
      <c r="S269" s="26">
        <f t="shared" si="57"/>
        <v>1</v>
      </c>
      <c r="T269" s="26">
        <f t="shared" si="57"/>
        <v>1</v>
      </c>
      <c r="U269" s="26">
        <f t="shared" si="58"/>
        <v>1</v>
      </c>
      <c r="V269" s="180">
        <f t="shared" si="61"/>
        <v>45740</v>
      </c>
      <c r="W269" s="181">
        <f t="shared" si="59"/>
        <v>2</v>
      </c>
      <c r="AC269" t="s">
        <v>13</v>
      </c>
      <c r="AD269" s="180">
        <f t="shared" si="68"/>
        <v>45740</v>
      </c>
      <c r="AE269" s="177">
        <f t="shared" si="62"/>
        <v>58</v>
      </c>
      <c r="AF269" s="177">
        <f t="shared" si="63"/>
        <v>58</v>
      </c>
      <c r="AG269" s="177">
        <f t="shared" si="64"/>
        <v>50</v>
      </c>
      <c r="AH269" s="177">
        <f t="shared" si="65"/>
        <v>50</v>
      </c>
      <c r="AI269" s="177">
        <f t="shared" si="66"/>
        <v>50</v>
      </c>
    </row>
    <row r="270" spans="15:35" x14ac:dyDescent="0.25">
      <c r="O270" s="180">
        <f t="shared" si="67"/>
        <v>45741</v>
      </c>
      <c r="P270" s="181">
        <f t="shared" si="60"/>
        <v>3</v>
      </c>
      <c r="Q270" s="26">
        <f t="shared" si="57"/>
        <v>1</v>
      </c>
      <c r="R270" s="26">
        <f t="shared" si="57"/>
        <v>1</v>
      </c>
      <c r="S270" s="26">
        <f t="shared" si="57"/>
        <v>1</v>
      </c>
      <c r="T270" s="26">
        <f t="shared" si="57"/>
        <v>1</v>
      </c>
      <c r="U270" s="26">
        <f t="shared" si="58"/>
        <v>1</v>
      </c>
      <c r="V270" s="180">
        <f t="shared" si="61"/>
        <v>45741</v>
      </c>
      <c r="W270" s="181">
        <f t="shared" si="59"/>
        <v>3</v>
      </c>
      <c r="AC270" t="s">
        <v>410</v>
      </c>
      <c r="AD270" s="180">
        <f t="shared" si="68"/>
        <v>45741</v>
      </c>
      <c r="AE270" s="177">
        <f t="shared" si="62"/>
        <v>57</v>
      </c>
      <c r="AF270" s="177">
        <f t="shared" si="63"/>
        <v>57</v>
      </c>
      <c r="AG270" s="177">
        <f t="shared" si="64"/>
        <v>49</v>
      </c>
      <c r="AH270" s="177">
        <f t="shared" si="65"/>
        <v>49</v>
      </c>
      <c r="AI270" s="177">
        <f t="shared" si="66"/>
        <v>49</v>
      </c>
    </row>
    <row r="271" spans="15:35" x14ac:dyDescent="0.25">
      <c r="O271" s="180">
        <f t="shared" si="67"/>
        <v>45742</v>
      </c>
      <c r="P271" s="181">
        <f t="shared" si="60"/>
        <v>4</v>
      </c>
      <c r="Q271" s="26">
        <f t="shared" si="57"/>
        <v>1</v>
      </c>
      <c r="R271" s="26">
        <f t="shared" si="57"/>
        <v>1</v>
      </c>
      <c r="S271" s="26">
        <f t="shared" si="57"/>
        <v>1</v>
      </c>
      <c r="T271" s="26">
        <f t="shared" si="57"/>
        <v>1</v>
      </c>
      <c r="U271" s="26">
        <f t="shared" si="57"/>
        <v>1</v>
      </c>
      <c r="V271" s="180">
        <f t="shared" si="61"/>
        <v>45742</v>
      </c>
      <c r="W271" s="181">
        <f t="shared" si="59"/>
        <v>4</v>
      </c>
      <c r="AC271" t="s">
        <v>13</v>
      </c>
      <c r="AD271" s="180">
        <f t="shared" si="68"/>
        <v>45742</v>
      </c>
      <c r="AE271" s="177">
        <f t="shared" si="62"/>
        <v>56</v>
      </c>
      <c r="AF271" s="177">
        <f t="shared" si="63"/>
        <v>56</v>
      </c>
      <c r="AG271" s="177">
        <f t="shared" si="64"/>
        <v>48</v>
      </c>
      <c r="AH271" s="177">
        <f t="shared" si="65"/>
        <v>48</v>
      </c>
      <c r="AI271" s="177">
        <f t="shared" si="66"/>
        <v>48</v>
      </c>
    </row>
    <row r="272" spans="15:35" x14ac:dyDescent="0.25">
      <c r="O272" s="180">
        <f t="shared" si="67"/>
        <v>45743</v>
      </c>
      <c r="P272" s="181">
        <f t="shared" si="60"/>
        <v>5</v>
      </c>
      <c r="Q272" s="26">
        <f t="shared" si="57"/>
        <v>1</v>
      </c>
      <c r="R272" s="26">
        <f t="shared" si="57"/>
        <v>1</v>
      </c>
      <c r="S272" s="26">
        <f t="shared" si="57"/>
        <v>1</v>
      </c>
      <c r="T272" s="26">
        <f t="shared" si="57"/>
        <v>1</v>
      </c>
      <c r="U272" s="26">
        <f t="shared" si="57"/>
        <v>1</v>
      </c>
      <c r="V272" s="180">
        <f t="shared" si="61"/>
        <v>45743</v>
      </c>
      <c r="W272" s="181">
        <f t="shared" si="59"/>
        <v>5</v>
      </c>
      <c r="AC272" t="s">
        <v>410</v>
      </c>
      <c r="AD272" s="180">
        <f t="shared" si="68"/>
        <v>45743</v>
      </c>
      <c r="AE272" s="177">
        <f t="shared" si="62"/>
        <v>55</v>
      </c>
      <c r="AF272" s="177">
        <f t="shared" si="63"/>
        <v>55</v>
      </c>
      <c r="AG272" s="177">
        <f t="shared" si="64"/>
        <v>47</v>
      </c>
      <c r="AH272" s="177">
        <f t="shared" si="65"/>
        <v>47</v>
      </c>
      <c r="AI272" s="177">
        <f t="shared" si="66"/>
        <v>47</v>
      </c>
    </row>
    <row r="273" spans="15:35" x14ac:dyDescent="0.25">
      <c r="O273" s="180">
        <f t="shared" si="67"/>
        <v>45744</v>
      </c>
      <c r="P273" s="181">
        <f t="shared" si="60"/>
        <v>6</v>
      </c>
      <c r="Q273" s="26">
        <f t="shared" si="57"/>
        <v>1</v>
      </c>
      <c r="R273" s="26">
        <f t="shared" si="57"/>
        <v>1</v>
      </c>
      <c r="S273" s="26">
        <f t="shared" si="57"/>
        <v>1</v>
      </c>
      <c r="T273" s="26">
        <f t="shared" si="57"/>
        <v>1</v>
      </c>
      <c r="U273" s="26">
        <f t="shared" si="57"/>
        <v>1</v>
      </c>
      <c r="V273" s="180">
        <f t="shared" si="61"/>
        <v>45744</v>
      </c>
      <c r="W273" s="181">
        <f t="shared" si="59"/>
        <v>6</v>
      </c>
      <c r="AC273" t="s">
        <v>13</v>
      </c>
      <c r="AD273" s="180">
        <f t="shared" si="68"/>
        <v>45744</v>
      </c>
      <c r="AE273" s="177">
        <f t="shared" si="62"/>
        <v>54</v>
      </c>
      <c r="AF273" s="177">
        <f t="shared" si="63"/>
        <v>54</v>
      </c>
      <c r="AG273" s="177">
        <f t="shared" si="64"/>
        <v>46</v>
      </c>
      <c r="AH273" s="177">
        <f t="shared" si="65"/>
        <v>46</v>
      </c>
      <c r="AI273" s="177">
        <f t="shared" si="66"/>
        <v>46</v>
      </c>
    </row>
    <row r="274" spans="15:35" x14ac:dyDescent="0.25">
      <c r="O274" s="180">
        <f t="shared" si="67"/>
        <v>45745</v>
      </c>
      <c r="P274" s="181">
        <f t="shared" si="60"/>
        <v>7</v>
      </c>
      <c r="Q274" s="26" t="str">
        <f t="shared" si="57"/>
        <v/>
      </c>
      <c r="R274" s="26" t="str">
        <f t="shared" si="57"/>
        <v/>
      </c>
      <c r="S274" s="26" t="str">
        <f t="shared" si="57"/>
        <v/>
      </c>
      <c r="T274" s="26" t="str">
        <f t="shared" si="57"/>
        <v/>
      </c>
      <c r="U274" s="26" t="str">
        <f t="shared" si="57"/>
        <v/>
      </c>
      <c r="V274" s="180">
        <f t="shared" si="61"/>
        <v>45745</v>
      </c>
      <c r="W274" s="181">
        <f t="shared" si="59"/>
        <v>7</v>
      </c>
      <c r="AD274" s="180">
        <f t="shared" si="68"/>
        <v>45745</v>
      </c>
      <c r="AE274" s="177">
        <f t="shared" si="62"/>
        <v>54</v>
      </c>
      <c r="AF274" s="177">
        <f t="shared" si="63"/>
        <v>54</v>
      </c>
      <c r="AG274" s="177">
        <f t="shared" si="64"/>
        <v>46</v>
      </c>
      <c r="AH274" s="177">
        <f t="shared" si="65"/>
        <v>46</v>
      </c>
      <c r="AI274" s="177">
        <f t="shared" si="66"/>
        <v>46</v>
      </c>
    </row>
    <row r="275" spans="15:35" x14ac:dyDescent="0.25">
      <c r="O275" s="180">
        <f t="shared" si="67"/>
        <v>45746</v>
      </c>
      <c r="P275" s="181">
        <f t="shared" si="60"/>
        <v>1</v>
      </c>
      <c r="Q275" s="26" t="str">
        <f t="shared" si="57"/>
        <v/>
      </c>
      <c r="R275" s="26" t="str">
        <f t="shared" si="57"/>
        <v/>
      </c>
      <c r="S275" s="26" t="str">
        <f t="shared" si="57"/>
        <v/>
      </c>
      <c r="T275" s="26" t="str">
        <f t="shared" si="57"/>
        <v/>
      </c>
      <c r="U275" s="26" t="str">
        <f t="shared" si="57"/>
        <v/>
      </c>
      <c r="V275" s="180">
        <f t="shared" si="61"/>
        <v>45746</v>
      </c>
      <c r="W275" s="181">
        <f t="shared" si="59"/>
        <v>1</v>
      </c>
      <c r="AD275" s="180">
        <f t="shared" si="68"/>
        <v>45746</v>
      </c>
      <c r="AE275" s="177">
        <f t="shared" si="62"/>
        <v>54</v>
      </c>
      <c r="AF275" s="177">
        <f t="shared" si="63"/>
        <v>54</v>
      </c>
      <c r="AG275" s="177">
        <f t="shared" si="64"/>
        <v>46</v>
      </c>
      <c r="AH275" s="177">
        <f t="shared" si="65"/>
        <v>46</v>
      </c>
      <c r="AI275" s="177">
        <f t="shared" si="66"/>
        <v>46</v>
      </c>
    </row>
    <row r="276" spans="15:35" x14ac:dyDescent="0.25">
      <c r="O276" s="180">
        <f t="shared" si="67"/>
        <v>45747</v>
      </c>
      <c r="P276" s="181">
        <f t="shared" si="60"/>
        <v>2</v>
      </c>
      <c r="Q276" s="26" t="s">
        <v>82</v>
      </c>
      <c r="R276" s="26" t="s">
        <v>82</v>
      </c>
      <c r="S276" s="26" t="s">
        <v>82</v>
      </c>
      <c r="T276" s="26" t="s">
        <v>82</v>
      </c>
      <c r="U276" s="26" t="s">
        <v>82</v>
      </c>
      <c r="V276" s="180">
        <f t="shared" si="61"/>
        <v>45747</v>
      </c>
      <c r="W276" s="181">
        <f t="shared" si="59"/>
        <v>2</v>
      </c>
      <c r="X276" t="s">
        <v>475</v>
      </c>
      <c r="Y276" t="s">
        <v>475</v>
      </c>
      <c r="Z276" t="s">
        <v>475</v>
      </c>
      <c r="AA276" t="s">
        <v>475</v>
      </c>
      <c r="AB276" t="s">
        <v>475</v>
      </c>
      <c r="AD276" s="180">
        <f t="shared" si="68"/>
        <v>45747</v>
      </c>
      <c r="AE276" s="177">
        <f t="shared" si="62"/>
        <v>54</v>
      </c>
      <c r="AF276" s="177">
        <f t="shared" si="63"/>
        <v>54</v>
      </c>
      <c r="AG276" s="177">
        <f t="shared" si="64"/>
        <v>46</v>
      </c>
      <c r="AH276" s="177">
        <f t="shared" si="65"/>
        <v>46</v>
      </c>
      <c r="AI276" s="177">
        <f t="shared" si="66"/>
        <v>46</v>
      </c>
    </row>
    <row r="277" spans="15:35" x14ac:dyDescent="0.25">
      <c r="O277" s="180">
        <f t="shared" si="67"/>
        <v>45748</v>
      </c>
      <c r="P277" s="181">
        <f t="shared" si="60"/>
        <v>3</v>
      </c>
      <c r="Q277" s="26" t="s">
        <v>83</v>
      </c>
      <c r="R277" s="26" t="s">
        <v>83</v>
      </c>
      <c r="S277" s="26" t="s">
        <v>83</v>
      </c>
      <c r="T277" s="26" t="s">
        <v>83</v>
      </c>
      <c r="U277" s="26" t="s">
        <v>83</v>
      </c>
      <c r="V277" s="180">
        <f t="shared" si="61"/>
        <v>45748</v>
      </c>
      <c r="W277" s="181">
        <f t="shared" si="59"/>
        <v>3</v>
      </c>
      <c r="AD277" s="180">
        <f t="shared" si="68"/>
        <v>45748</v>
      </c>
      <c r="AE277" s="177">
        <f t="shared" si="62"/>
        <v>54</v>
      </c>
      <c r="AF277" s="177">
        <f t="shared" si="63"/>
        <v>54</v>
      </c>
      <c r="AG277" s="177">
        <f t="shared" si="64"/>
        <v>46</v>
      </c>
      <c r="AH277" s="177">
        <f t="shared" si="65"/>
        <v>46</v>
      </c>
      <c r="AI277" s="177">
        <f t="shared" si="66"/>
        <v>46</v>
      </c>
    </row>
    <row r="278" spans="15:35" x14ac:dyDescent="0.25">
      <c r="O278" s="180">
        <f t="shared" si="67"/>
        <v>45749</v>
      </c>
      <c r="P278" s="181">
        <f t="shared" si="60"/>
        <v>4</v>
      </c>
      <c r="Q278" s="26" t="s">
        <v>83</v>
      </c>
      <c r="R278" s="26" t="s">
        <v>83</v>
      </c>
      <c r="S278" s="26" t="s">
        <v>83</v>
      </c>
      <c r="T278" s="26" t="s">
        <v>83</v>
      </c>
      <c r="U278" s="26" t="s">
        <v>83</v>
      </c>
      <c r="V278" s="180">
        <f t="shared" si="61"/>
        <v>45749</v>
      </c>
      <c r="W278" s="181">
        <f t="shared" si="59"/>
        <v>4</v>
      </c>
      <c r="AD278" s="180">
        <f t="shared" si="68"/>
        <v>45749</v>
      </c>
      <c r="AE278" s="177">
        <f t="shared" si="62"/>
        <v>54</v>
      </c>
      <c r="AF278" s="177">
        <f t="shared" si="63"/>
        <v>54</v>
      </c>
      <c r="AG278" s="177">
        <f t="shared" si="64"/>
        <v>46</v>
      </c>
      <c r="AH278" s="177">
        <f t="shared" si="65"/>
        <v>46</v>
      </c>
      <c r="AI278" s="177">
        <f t="shared" si="66"/>
        <v>46</v>
      </c>
    </row>
    <row r="279" spans="15:35" x14ac:dyDescent="0.25">
      <c r="O279" s="180">
        <f t="shared" si="67"/>
        <v>45750</v>
      </c>
      <c r="P279" s="181">
        <f t="shared" si="60"/>
        <v>5</v>
      </c>
      <c r="Q279" s="26" t="s">
        <v>83</v>
      </c>
      <c r="R279" s="26" t="s">
        <v>83</v>
      </c>
      <c r="S279" s="26" t="s">
        <v>83</v>
      </c>
      <c r="T279" s="26" t="s">
        <v>83</v>
      </c>
      <c r="U279" s="26" t="s">
        <v>83</v>
      </c>
      <c r="V279" s="180">
        <f t="shared" si="61"/>
        <v>45750</v>
      </c>
      <c r="W279" s="181">
        <f t="shared" si="59"/>
        <v>5</v>
      </c>
      <c r="AD279" s="180">
        <f t="shared" si="68"/>
        <v>45750</v>
      </c>
      <c r="AE279" s="177">
        <f t="shared" si="62"/>
        <v>54</v>
      </c>
      <c r="AF279" s="177">
        <f t="shared" si="63"/>
        <v>54</v>
      </c>
      <c r="AG279" s="177">
        <f t="shared" si="64"/>
        <v>46</v>
      </c>
      <c r="AH279" s="177">
        <f t="shared" si="65"/>
        <v>46</v>
      </c>
      <c r="AI279" s="177">
        <f t="shared" si="66"/>
        <v>46</v>
      </c>
    </row>
    <row r="280" spans="15:35" x14ac:dyDescent="0.25">
      <c r="O280" s="180">
        <f t="shared" si="67"/>
        <v>45751</v>
      </c>
      <c r="P280" s="181">
        <f t="shared" si="60"/>
        <v>6</v>
      </c>
      <c r="Q280" s="26" t="s">
        <v>83</v>
      </c>
      <c r="R280" s="26" t="s">
        <v>83</v>
      </c>
      <c r="S280" s="26" t="s">
        <v>83</v>
      </c>
      <c r="T280" s="26" t="s">
        <v>83</v>
      </c>
      <c r="U280" s="26" t="s">
        <v>83</v>
      </c>
      <c r="V280" s="180">
        <f t="shared" si="61"/>
        <v>45751</v>
      </c>
      <c r="W280" s="181">
        <f t="shared" si="59"/>
        <v>6</v>
      </c>
      <c r="AD280" s="180">
        <f t="shared" si="68"/>
        <v>45751</v>
      </c>
      <c r="AE280" s="177">
        <f t="shared" si="62"/>
        <v>54</v>
      </c>
      <c r="AF280" s="177">
        <f t="shared" si="63"/>
        <v>54</v>
      </c>
      <c r="AG280" s="177">
        <f t="shared" si="64"/>
        <v>46</v>
      </c>
      <c r="AH280" s="177">
        <f t="shared" si="65"/>
        <v>46</v>
      </c>
      <c r="AI280" s="177">
        <f t="shared" si="66"/>
        <v>46</v>
      </c>
    </row>
    <row r="281" spans="15:35" x14ac:dyDescent="0.25">
      <c r="O281" s="180">
        <f t="shared" si="67"/>
        <v>45752</v>
      </c>
      <c r="P281" s="181">
        <f t="shared" si="60"/>
        <v>7</v>
      </c>
      <c r="Q281" s="26" t="str">
        <f t="shared" si="57"/>
        <v/>
      </c>
      <c r="R281" s="26" t="str">
        <f t="shared" si="57"/>
        <v/>
      </c>
      <c r="S281" s="26" t="str">
        <f t="shared" si="57"/>
        <v/>
      </c>
      <c r="T281" s="26" t="str">
        <f t="shared" si="57"/>
        <v/>
      </c>
      <c r="U281" s="26" t="str">
        <f t="shared" si="58"/>
        <v/>
      </c>
      <c r="V281" s="180">
        <f t="shared" si="61"/>
        <v>45752</v>
      </c>
      <c r="W281" s="181">
        <f t="shared" si="59"/>
        <v>7</v>
      </c>
      <c r="AD281" s="180">
        <f t="shared" si="68"/>
        <v>45752</v>
      </c>
      <c r="AE281" s="177">
        <f t="shared" si="62"/>
        <v>54</v>
      </c>
      <c r="AF281" s="177">
        <f t="shared" si="63"/>
        <v>54</v>
      </c>
      <c r="AG281" s="177">
        <f t="shared" si="64"/>
        <v>46</v>
      </c>
      <c r="AH281" s="177">
        <f t="shared" si="65"/>
        <v>46</v>
      </c>
      <c r="AI281" s="177">
        <f t="shared" si="66"/>
        <v>46</v>
      </c>
    </row>
    <row r="282" spans="15:35" x14ac:dyDescent="0.25">
      <c r="O282" s="180">
        <f t="shared" si="67"/>
        <v>45753</v>
      </c>
      <c r="P282" s="181">
        <f t="shared" si="60"/>
        <v>1</v>
      </c>
      <c r="Q282" s="26" t="str">
        <f t="shared" si="57"/>
        <v/>
      </c>
      <c r="R282" s="26" t="str">
        <f t="shared" si="57"/>
        <v/>
      </c>
      <c r="S282" s="26" t="str">
        <f t="shared" si="57"/>
        <v/>
      </c>
      <c r="T282" s="26" t="str">
        <f t="shared" si="57"/>
        <v/>
      </c>
      <c r="U282" s="26" t="str">
        <f t="shared" si="58"/>
        <v/>
      </c>
      <c r="V282" s="180">
        <f t="shared" si="61"/>
        <v>45753</v>
      </c>
      <c r="W282" s="181">
        <f t="shared" si="59"/>
        <v>1</v>
      </c>
      <c r="AD282" s="180">
        <f t="shared" si="68"/>
        <v>45753</v>
      </c>
      <c r="AE282" s="177">
        <f t="shared" si="62"/>
        <v>54</v>
      </c>
      <c r="AF282" s="177">
        <f t="shared" si="63"/>
        <v>54</v>
      </c>
      <c r="AG282" s="177">
        <f t="shared" si="64"/>
        <v>46</v>
      </c>
      <c r="AH282" s="177">
        <f t="shared" si="65"/>
        <v>46</v>
      </c>
      <c r="AI282" s="177">
        <f t="shared" si="66"/>
        <v>46</v>
      </c>
    </row>
    <row r="283" spans="15:35" x14ac:dyDescent="0.25">
      <c r="O283" s="180">
        <f t="shared" si="67"/>
        <v>45754</v>
      </c>
      <c r="P283" s="181">
        <f t="shared" si="60"/>
        <v>2</v>
      </c>
      <c r="Q283" s="26">
        <f t="shared" si="57"/>
        <v>1</v>
      </c>
      <c r="R283" s="26">
        <f t="shared" si="57"/>
        <v>1</v>
      </c>
      <c r="S283" s="26">
        <f t="shared" si="57"/>
        <v>1</v>
      </c>
      <c r="T283" s="26">
        <f t="shared" si="57"/>
        <v>1</v>
      </c>
      <c r="U283" s="26">
        <f t="shared" si="58"/>
        <v>1</v>
      </c>
      <c r="V283" s="180">
        <f t="shared" si="61"/>
        <v>45754</v>
      </c>
      <c r="W283" s="181">
        <f t="shared" si="59"/>
        <v>2</v>
      </c>
      <c r="AC283" t="s">
        <v>410</v>
      </c>
      <c r="AD283" s="180">
        <f t="shared" si="68"/>
        <v>45754</v>
      </c>
      <c r="AE283" s="177">
        <f t="shared" si="62"/>
        <v>53</v>
      </c>
      <c r="AF283" s="177">
        <f t="shared" si="63"/>
        <v>53</v>
      </c>
      <c r="AG283" s="177">
        <f t="shared" si="64"/>
        <v>45</v>
      </c>
      <c r="AH283" s="177">
        <f t="shared" si="65"/>
        <v>45</v>
      </c>
      <c r="AI283" s="177">
        <f t="shared" si="66"/>
        <v>45</v>
      </c>
    </row>
    <row r="284" spans="15:35" x14ac:dyDescent="0.25">
      <c r="O284" s="180">
        <f t="shared" si="67"/>
        <v>45755</v>
      </c>
      <c r="P284" s="181">
        <f t="shared" si="60"/>
        <v>3</v>
      </c>
      <c r="Q284" s="26">
        <f t="shared" si="57"/>
        <v>1</v>
      </c>
      <c r="R284" s="26">
        <f t="shared" si="57"/>
        <v>1</v>
      </c>
      <c r="S284" s="26">
        <f t="shared" si="57"/>
        <v>1</v>
      </c>
      <c r="T284" s="26">
        <f t="shared" si="57"/>
        <v>1</v>
      </c>
      <c r="U284" s="26">
        <f t="shared" si="58"/>
        <v>1</v>
      </c>
      <c r="V284" s="180">
        <f t="shared" si="61"/>
        <v>45755</v>
      </c>
      <c r="W284" s="181">
        <f t="shared" si="59"/>
        <v>3</v>
      </c>
      <c r="AC284" t="s">
        <v>13</v>
      </c>
      <c r="AD284" s="180">
        <f t="shared" si="68"/>
        <v>45755</v>
      </c>
      <c r="AE284" s="177">
        <f t="shared" si="62"/>
        <v>52</v>
      </c>
      <c r="AF284" s="177">
        <f t="shared" si="63"/>
        <v>52</v>
      </c>
      <c r="AG284" s="177">
        <f t="shared" si="64"/>
        <v>44</v>
      </c>
      <c r="AH284" s="177">
        <f t="shared" si="65"/>
        <v>44</v>
      </c>
      <c r="AI284" s="177">
        <f t="shared" si="66"/>
        <v>44</v>
      </c>
    </row>
    <row r="285" spans="15:35" x14ac:dyDescent="0.25">
      <c r="O285" s="180">
        <f t="shared" si="67"/>
        <v>45756</v>
      </c>
      <c r="P285" s="181">
        <f t="shared" si="60"/>
        <v>4</v>
      </c>
      <c r="Q285" s="26">
        <f t="shared" si="57"/>
        <v>1</v>
      </c>
      <c r="R285" s="26">
        <f t="shared" si="57"/>
        <v>1</v>
      </c>
      <c r="S285" s="26">
        <f t="shared" si="57"/>
        <v>1</v>
      </c>
      <c r="T285" s="26">
        <f t="shared" si="57"/>
        <v>1</v>
      </c>
      <c r="U285" s="26">
        <f t="shared" si="58"/>
        <v>1</v>
      </c>
      <c r="V285" s="180">
        <f t="shared" si="61"/>
        <v>45756</v>
      </c>
      <c r="W285" s="181">
        <f t="shared" si="59"/>
        <v>4</v>
      </c>
      <c r="AC285" t="s">
        <v>410</v>
      </c>
      <c r="AD285" s="180">
        <f t="shared" si="68"/>
        <v>45756</v>
      </c>
      <c r="AE285" s="177">
        <f t="shared" si="62"/>
        <v>51</v>
      </c>
      <c r="AF285" s="177">
        <f t="shared" si="63"/>
        <v>51</v>
      </c>
      <c r="AG285" s="177">
        <f t="shared" si="64"/>
        <v>43</v>
      </c>
      <c r="AH285" s="177">
        <f t="shared" si="65"/>
        <v>43</v>
      </c>
      <c r="AI285" s="177">
        <f t="shared" si="66"/>
        <v>43</v>
      </c>
    </row>
    <row r="286" spans="15:35" x14ac:dyDescent="0.25">
      <c r="O286" s="180">
        <f t="shared" si="67"/>
        <v>45757</v>
      </c>
      <c r="P286" s="181">
        <f t="shared" si="60"/>
        <v>5</v>
      </c>
      <c r="Q286" s="26">
        <f t="shared" si="57"/>
        <v>1</v>
      </c>
      <c r="R286" s="26">
        <f t="shared" si="57"/>
        <v>1</v>
      </c>
      <c r="S286" s="26">
        <f t="shared" si="57"/>
        <v>1</v>
      </c>
      <c r="T286" s="26">
        <f t="shared" si="57"/>
        <v>1</v>
      </c>
      <c r="U286" s="26">
        <f t="shared" si="58"/>
        <v>1</v>
      </c>
      <c r="V286" s="180">
        <f t="shared" si="61"/>
        <v>45757</v>
      </c>
      <c r="W286" s="181">
        <f t="shared" si="59"/>
        <v>5</v>
      </c>
      <c r="AC286" t="s">
        <v>13</v>
      </c>
      <c r="AD286" s="180">
        <f t="shared" si="68"/>
        <v>45757</v>
      </c>
      <c r="AE286" s="177">
        <f t="shared" si="62"/>
        <v>50</v>
      </c>
      <c r="AF286" s="177">
        <f t="shared" si="63"/>
        <v>50</v>
      </c>
      <c r="AG286" s="177">
        <f t="shared" si="64"/>
        <v>42</v>
      </c>
      <c r="AH286" s="177">
        <f t="shared" si="65"/>
        <v>42</v>
      </c>
      <c r="AI286" s="177">
        <f t="shared" si="66"/>
        <v>42</v>
      </c>
    </row>
    <row r="287" spans="15:35" x14ac:dyDescent="0.25">
      <c r="O287" s="180">
        <f t="shared" si="67"/>
        <v>45758</v>
      </c>
      <c r="P287" s="181">
        <f t="shared" si="60"/>
        <v>6</v>
      </c>
      <c r="Q287" s="26">
        <f t="shared" si="57"/>
        <v>1</v>
      </c>
      <c r="R287" s="26">
        <f t="shared" si="57"/>
        <v>1</v>
      </c>
      <c r="S287" s="26">
        <f t="shared" si="57"/>
        <v>1</v>
      </c>
      <c r="T287" s="26">
        <f t="shared" si="57"/>
        <v>1</v>
      </c>
      <c r="U287" s="26">
        <f t="shared" si="58"/>
        <v>1</v>
      </c>
      <c r="V287" s="180">
        <f t="shared" si="61"/>
        <v>45758</v>
      </c>
      <c r="W287" s="181">
        <f t="shared" si="59"/>
        <v>6</v>
      </c>
      <c r="AC287" t="s">
        <v>410</v>
      </c>
      <c r="AD287" s="180">
        <f t="shared" si="68"/>
        <v>45758</v>
      </c>
      <c r="AE287" s="177">
        <f t="shared" si="62"/>
        <v>49</v>
      </c>
      <c r="AF287" s="177">
        <f t="shared" si="63"/>
        <v>49</v>
      </c>
      <c r="AG287" s="177">
        <f t="shared" si="64"/>
        <v>41</v>
      </c>
      <c r="AH287" s="177">
        <f t="shared" si="65"/>
        <v>41</v>
      </c>
      <c r="AI287" s="177">
        <f t="shared" si="66"/>
        <v>41</v>
      </c>
    </row>
    <row r="288" spans="15:35" x14ac:dyDescent="0.25">
      <c r="O288" s="180">
        <f t="shared" si="67"/>
        <v>45759</v>
      </c>
      <c r="P288" s="181">
        <f t="shared" si="60"/>
        <v>7</v>
      </c>
      <c r="Q288" s="26" t="str">
        <f t="shared" si="57"/>
        <v/>
      </c>
      <c r="R288" s="26" t="str">
        <f t="shared" si="57"/>
        <v/>
      </c>
      <c r="S288" s="26" t="str">
        <f t="shared" si="57"/>
        <v/>
      </c>
      <c r="T288" s="26" t="str">
        <f t="shared" si="57"/>
        <v/>
      </c>
      <c r="U288" s="26" t="str">
        <f t="shared" si="58"/>
        <v/>
      </c>
      <c r="V288" s="180">
        <f t="shared" si="61"/>
        <v>45759</v>
      </c>
      <c r="W288" s="181">
        <f t="shared" si="59"/>
        <v>7</v>
      </c>
      <c r="AD288" s="180">
        <f t="shared" si="68"/>
        <v>45759</v>
      </c>
      <c r="AE288" s="177">
        <f t="shared" si="62"/>
        <v>49</v>
      </c>
      <c r="AF288" s="177">
        <f t="shared" si="63"/>
        <v>49</v>
      </c>
      <c r="AG288" s="177">
        <f t="shared" si="64"/>
        <v>41</v>
      </c>
      <c r="AH288" s="177">
        <f t="shared" si="65"/>
        <v>41</v>
      </c>
      <c r="AI288" s="177">
        <f t="shared" si="66"/>
        <v>41</v>
      </c>
    </row>
    <row r="289" spans="15:35" x14ac:dyDescent="0.25">
      <c r="O289" s="180">
        <f t="shared" si="67"/>
        <v>45760</v>
      </c>
      <c r="P289" s="181">
        <f t="shared" si="60"/>
        <v>1</v>
      </c>
      <c r="Q289" s="26" t="str">
        <f t="shared" si="57"/>
        <v/>
      </c>
      <c r="R289" s="26" t="str">
        <f t="shared" si="57"/>
        <v/>
      </c>
      <c r="S289" s="26" t="str">
        <f t="shared" si="57"/>
        <v/>
      </c>
      <c r="T289" s="26" t="str">
        <f t="shared" si="57"/>
        <v/>
      </c>
      <c r="U289" s="26" t="str">
        <f t="shared" si="58"/>
        <v/>
      </c>
      <c r="V289" s="180">
        <f t="shared" si="61"/>
        <v>45760</v>
      </c>
      <c r="W289" s="181">
        <f t="shared" si="59"/>
        <v>1</v>
      </c>
      <c r="AD289" s="180">
        <f t="shared" si="68"/>
        <v>45760</v>
      </c>
      <c r="AE289" s="177">
        <f t="shared" si="62"/>
        <v>49</v>
      </c>
      <c r="AF289" s="177">
        <f t="shared" si="63"/>
        <v>49</v>
      </c>
      <c r="AG289" s="177">
        <f t="shared" si="64"/>
        <v>41</v>
      </c>
      <c r="AH289" s="177">
        <f t="shared" si="65"/>
        <v>41</v>
      </c>
      <c r="AI289" s="177">
        <f t="shared" si="66"/>
        <v>41</v>
      </c>
    </row>
    <row r="290" spans="15:35" x14ac:dyDescent="0.25">
      <c r="O290" s="180">
        <f t="shared" si="67"/>
        <v>45761</v>
      </c>
      <c r="P290" s="181">
        <f t="shared" si="60"/>
        <v>2</v>
      </c>
      <c r="Q290" s="26">
        <f t="shared" si="57"/>
        <v>1</v>
      </c>
      <c r="R290" s="26">
        <f t="shared" si="57"/>
        <v>1</v>
      </c>
      <c r="S290" s="26">
        <f t="shared" si="57"/>
        <v>1</v>
      </c>
      <c r="T290" s="26">
        <f t="shared" si="57"/>
        <v>1</v>
      </c>
      <c r="U290" s="26">
        <f t="shared" si="58"/>
        <v>1</v>
      </c>
      <c r="V290" s="180">
        <f t="shared" si="61"/>
        <v>45761</v>
      </c>
      <c r="W290" s="181">
        <f t="shared" si="59"/>
        <v>2</v>
      </c>
      <c r="AC290" t="s">
        <v>13</v>
      </c>
      <c r="AD290" s="180">
        <f t="shared" si="68"/>
        <v>45761</v>
      </c>
      <c r="AE290" s="177">
        <f t="shared" si="62"/>
        <v>48</v>
      </c>
      <c r="AF290" s="177">
        <f t="shared" si="63"/>
        <v>48</v>
      </c>
      <c r="AG290" s="177">
        <f t="shared" si="64"/>
        <v>40</v>
      </c>
      <c r="AH290" s="177">
        <f t="shared" si="65"/>
        <v>40</v>
      </c>
      <c r="AI290" s="177">
        <f t="shared" si="66"/>
        <v>40</v>
      </c>
    </row>
    <row r="291" spans="15:35" x14ac:dyDescent="0.25">
      <c r="O291" s="180">
        <f t="shared" si="67"/>
        <v>45762</v>
      </c>
      <c r="P291" s="181">
        <f t="shared" si="60"/>
        <v>3</v>
      </c>
      <c r="Q291" s="26">
        <f t="shared" ref="Q291:U306" si="69">IF(OR($P291=2,$P291=3,$P291=4,$P291=5,$P291=6),1,"")</f>
        <v>1</v>
      </c>
      <c r="R291" s="26">
        <f t="shared" si="69"/>
        <v>1</v>
      </c>
      <c r="S291" s="26">
        <f t="shared" si="69"/>
        <v>1</v>
      </c>
      <c r="T291" s="26">
        <f t="shared" si="69"/>
        <v>1</v>
      </c>
      <c r="U291" s="26">
        <f t="shared" si="69"/>
        <v>1</v>
      </c>
      <c r="V291" s="180">
        <f t="shared" si="61"/>
        <v>45762</v>
      </c>
      <c r="W291" s="181">
        <f t="shared" si="59"/>
        <v>3</v>
      </c>
      <c r="AC291" t="s">
        <v>410</v>
      </c>
      <c r="AD291" s="180">
        <f t="shared" si="68"/>
        <v>45762</v>
      </c>
      <c r="AE291" s="177">
        <f t="shared" si="62"/>
        <v>47</v>
      </c>
      <c r="AF291" s="177">
        <f t="shared" si="63"/>
        <v>47</v>
      </c>
      <c r="AG291" s="177">
        <f t="shared" si="64"/>
        <v>39</v>
      </c>
      <c r="AH291" s="177">
        <f t="shared" si="65"/>
        <v>39</v>
      </c>
      <c r="AI291" s="177">
        <f t="shared" si="66"/>
        <v>39</v>
      </c>
    </row>
    <row r="292" spans="15:35" x14ac:dyDescent="0.25">
      <c r="O292" s="180">
        <f t="shared" si="67"/>
        <v>45763</v>
      </c>
      <c r="P292" s="181">
        <f t="shared" si="60"/>
        <v>4</v>
      </c>
      <c r="Q292" s="26">
        <f t="shared" si="69"/>
        <v>1</v>
      </c>
      <c r="R292" s="26">
        <f t="shared" si="69"/>
        <v>1</v>
      </c>
      <c r="S292" s="26">
        <f t="shared" si="69"/>
        <v>1</v>
      </c>
      <c r="T292" s="26">
        <f t="shared" si="69"/>
        <v>1</v>
      </c>
      <c r="U292" s="26">
        <f t="shared" si="69"/>
        <v>1</v>
      </c>
      <c r="V292" s="180">
        <f t="shared" si="61"/>
        <v>45763</v>
      </c>
      <c r="W292" s="181">
        <f t="shared" si="59"/>
        <v>4</v>
      </c>
      <c r="AC292" t="s">
        <v>13</v>
      </c>
      <c r="AD292" s="180">
        <f t="shared" si="68"/>
        <v>45763</v>
      </c>
      <c r="AE292" s="177">
        <f t="shared" si="62"/>
        <v>46</v>
      </c>
      <c r="AF292" s="177">
        <f t="shared" si="63"/>
        <v>46</v>
      </c>
      <c r="AG292" s="177">
        <f t="shared" si="64"/>
        <v>38</v>
      </c>
      <c r="AH292" s="177">
        <f t="shared" si="65"/>
        <v>38</v>
      </c>
      <c r="AI292" s="177">
        <f t="shared" si="66"/>
        <v>38</v>
      </c>
    </row>
    <row r="293" spans="15:35" x14ac:dyDescent="0.25">
      <c r="O293" s="180">
        <f t="shared" si="67"/>
        <v>45764</v>
      </c>
      <c r="P293" s="181">
        <f t="shared" si="60"/>
        <v>5</v>
      </c>
      <c r="Q293" s="26">
        <f t="shared" si="69"/>
        <v>1</v>
      </c>
      <c r="R293" s="26">
        <f t="shared" si="69"/>
        <v>1</v>
      </c>
      <c r="S293" s="26">
        <f t="shared" si="69"/>
        <v>1</v>
      </c>
      <c r="T293" s="26">
        <f t="shared" si="69"/>
        <v>1</v>
      </c>
      <c r="U293" s="26">
        <f t="shared" si="69"/>
        <v>1</v>
      </c>
      <c r="V293" s="180">
        <f t="shared" si="61"/>
        <v>45764</v>
      </c>
      <c r="W293" s="181">
        <f t="shared" si="59"/>
        <v>5</v>
      </c>
      <c r="AC293" t="s">
        <v>410</v>
      </c>
      <c r="AD293" s="180">
        <f t="shared" si="68"/>
        <v>45764</v>
      </c>
      <c r="AE293" s="177">
        <f t="shared" si="62"/>
        <v>45</v>
      </c>
      <c r="AF293" s="177">
        <f t="shared" si="63"/>
        <v>45</v>
      </c>
      <c r="AG293" s="177">
        <f t="shared" si="64"/>
        <v>37</v>
      </c>
      <c r="AH293" s="177">
        <f t="shared" si="65"/>
        <v>37</v>
      </c>
      <c r="AI293" s="177">
        <f t="shared" si="66"/>
        <v>37</v>
      </c>
    </row>
    <row r="294" spans="15:35" x14ac:dyDescent="0.25">
      <c r="O294" s="180">
        <f t="shared" si="67"/>
        <v>45765</v>
      </c>
      <c r="P294" s="181">
        <f t="shared" si="60"/>
        <v>6</v>
      </c>
      <c r="Q294" s="26">
        <f t="shared" si="69"/>
        <v>1</v>
      </c>
      <c r="R294" s="26">
        <f t="shared" si="69"/>
        <v>1</v>
      </c>
      <c r="S294" s="26">
        <f t="shared" si="69"/>
        <v>1</v>
      </c>
      <c r="T294" s="26">
        <f t="shared" si="69"/>
        <v>1</v>
      </c>
      <c r="U294" s="26">
        <f t="shared" si="69"/>
        <v>1</v>
      </c>
      <c r="V294" s="180">
        <f t="shared" si="61"/>
        <v>45765</v>
      </c>
      <c r="W294" s="181">
        <f t="shared" si="59"/>
        <v>6</v>
      </c>
      <c r="AC294" t="s">
        <v>13</v>
      </c>
      <c r="AD294" s="180">
        <f t="shared" si="68"/>
        <v>45765</v>
      </c>
      <c r="AE294" s="177">
        <f t="shared" si="62"/>
        <v>44</v>
      </c>
      <c r="AF294" s="177">
        <f t="shared" si="63"/>
        <v>44</v>
      </c>
      <c r="AG294" s="177">
        <f t="shared" si="64"/>
        <v>36</v>
      </c>
      <c r="AH294" s="177">
        <f t="shared" si="65"/>
        <v>36</v>
      </c>
      <c r="AI294" s="177">
        <f t="shared" si="66"/>
        <v>36</v>
      </c>
    </row>
    <row r="295" spans="15:35" x14ac:dyDescent="0.25">
      <c r="O295" s="180">
        <f t="shared" si="67"/>
        <v>45766</v>
      </c>
      <c r="P295" s="181">
        <f t="shared" si="60"/>
        <v>7</v>
      </c>
      <c r="Q295" s="26" t="str">
        <f t="shared" si="69"/>
        <v/>
      </c>
      <c r="R295" s="26" t="str">
        <f t="shared" si="69"/>
        <v/>
      </c>
      <c r="S295" s="26" t="str">
        <f t="shared" si="69"/>
        <v/>
      </c>
      <c r="T295" s="26" t="str">
        <f t="shared" si="69"/>
        <v/>
      </c>
      <c r="U295" s="26" t="str">
        <f t="shared" si="69"/>
        <v/>
      </c>
      <c r="V295" s="180">
        <f t="shared" si="61"/>
        <v>45766</v>
      </c>
      <c r="W295" s="181">
        <f t="shared" si="59"/>
        <v>7</v>
      </c>
      <c r="AD295" s="180">
        <f t="shared" si="68"/>
        <v>45766</v>
      </c>
      <c r="AE295" s="177">
        <f t="shared" si="62"/>
        <v>44</v>
      </c>
      <c r="AF295" s="177">
        <f t="shared" si="63"/>
        <v>44</v>
      </c>
      <c r="AG295" s="177">
        <f t="shared" si="64"/>
        <v>36</v>
      </c>
      <c r="AH295" s="177">
        <f t="shared" si="65"/>
        <v>36</v>
      </c>
      <c r="AI295" s="177">
        <f t="shared" si="66"/>
        <v>36</v>
      </c>
    </row>
    <row r="296" spans="15:35" x14ac:dyDescent="0.25">
      <c r="O296" s="180">
        <f t="shared" si="67"/>
        <v>45767</v>
      </c>
      <c r="P296" s="181">
        <f t="shared" si="60"/>
        <v>1</v>
      </c>
      <c r="Q296" s="26" t="str">
        <f t="shared" si="69"/>
        <v/>
      </c>
      <c r="R296" s="26" t="str">
        <f t="shared" si="69"/>
        <v/>
      </c>
      <c r="S296" s="26" t="str">
        <f t="shared" si="69"/>
        <v/>
      </c>
      <c r="T296" s="26" t="str">
        <f t="shared" si="69"/>
        <v/>
      </c>
      <c r="U296" s="26" t="str">
        <f t="shared" si="69"/>
        <v/>
      </c>
      <c r="V296" s="180">
        <f t="shared" si="61"/>
        <v>45767</v>
      </c>
      <c r="W296" s="181">
        <f t="shared" si="59"/>
        <v>1</v>
      </c>
      <c r="AD296" s="180">
        <f t="shared" si="68"/>
        <v>45767</v>
      </c>
      <c r="AE296" s="177">
        <f t="shared" si="62"/>
        <v>44</v>
      </c>
      <c r="AF296" s="177">
        <f t="shared" si="63"/>
        <v>44</v>
      </c>
      <c r="AG296" s="177">
        <f t="shared" si="64"/>
        <v>36</v>
      </c>
      <c r="AH296" s="177">
        <f t="shared" si="65"/>
        <v>36</v>
      </c>
      <c r="AI296" s="177">
        <f t="shared" si="66"/>
        <v>36</v>
      </c>
    </row>
    <row r="297" spans="15:35" x14ac:dyDescent="0.25">
      <c r="O297" s="180">
        <f t="shared" si="67"/>
        <v>45768</v>
      </c>
      <c r="P297" s="181">
        <f t="shared" si="60"/>
        <v>2</v>
      </c>
      <c r="Q297" s="26">
        <f t="shared" si="69"/>
        <v>1</v>
      </c>
      <c r="R297" s="26">
        <f t="shared" si="69"/>
        <v>1</v>
      </c>
      <c r="S297" s="26">
        <f t="shared" si="69"/>
        <v>1</v>
      </c>
      <c r="T297" s="26">
        <f t="shared" si="69"/>
        <v>1</v>
      </c>
      <c r="U297" s="26">
        <f t="shared" si="69"/>
        <v>1</v>
      </c>
      <c r="V297" s="180">
        <f t="shared" si="61"/>
        <v>45768</v>
      </c>
      <c r="W297" s="181">
        <f t="shared" si="59"/>
        <v>2</v>
      </c>
      <c r="AC297" t="s">
        <v>410</v>
      </c>
      <c r="AD297" s="180">
        <f t="shared" si="68"/>
        <v>45768</v>
      </c>
      <c r="AE297" s="177">
        <f t="shared" si="62"/>
        <v>43</v>
      </c>
      <c r="AF297" s="177">
        <f t="shared" si="63"/>
        <v>43</v>
      </c>
      <c r="AG297" s="177">
        <f t="shared" si="64"/>
        <v>35</v>
      </c>
      <c r="AH297" s="177">
        <f t="shared" si="65"/>
        <v>35</v>
      </c>
      <c r="AI297" s="177">
        <f t="shared" si="66"/>
        <v>35</v>
      </c>
    </row>
    <row r="298" spans="15:35" x14ac:dyDescent="0.25">
      <c r="O298" s="180">
        <f t="shared" si="67"/>
        <v>45769</v>
      </c>
      <c r="P298" s="181">
        <f t="shared" si="60"/>
        <v>3</v>
      </c>
      <c r="Q298" s="26">
        <f t="shared" si="69"/>
        <v>1</v>
      </c>
      <c r="R298" s="26">
        <f t="shared" si="69"/>
        <v>1</v>
      </c>
      <c r="S298" s="26">
        <f t="shared" si="69"/>
        <v>1</v>
      </c>
      <c r="T298" s="26">
        <f t="shared" si="69"/>
        <v>1</v>
      </c>
      <c r="U298" s="26">
        <f t="shared" si="69"/>
        <v>1</v>
      </c>
      <c r="V298" s="180">
        <f t="shared" si="61"/>
        <v>45769</v>
      </c>
      <c r="W298" s="181">
        <f t="shared" si="59"/>
        <v>3</v>
      </c>
      <c r="AC298" t="s">
        <v>13</v>
      </c>
      <c r="AD298" s="180">
        <f t="shared" si="68"/>
        <v>45769</v>
      </c>
      <c r="AE298" s="177">
        <f t="shared" si="62"/>
        <v>42</v>
      </c>
      <c r="AF298" s="177">
        <f t="shared" si="63"/>
        <v>42</v>
      </c>
      <c r="AG298" s="177">
        <f t="shared" si="64"/>
        <v>34</v>
      </c>
      <c r="AH298" s="177">
        <f t="shared" si="65"/>
        <v>34</v>
      </c>
      <c r="AI298" s="177">
        <f t="shared" si="66"/>
        <v>34</v>
      </c>
    </row>
    <row r="299" spans="15:35" x14ac:dyDescent="0.25">
      <c r="O299" s="180">
        <f t="shared" si="67"/>
        <v>45770</v>
      </c>
      <c r="P299" s="181">
        <f t="shared" si="60"/>
        <v>4</v>
      </c>
      <c r="Q299" s="26">
        <f t="shared" si="69"/>
        <v>1</v>
      </c>
      <c r="R299" s="26">
        <f t="shared" si="69"/>
        <v>1</v>
      </c>
      <c r="S299" s="26">
        <f t="shared" si="69"/>
        <v>1</v>
      </c>
      <c r="T299" s="26">
        <f t="shared" si="69"/>
        <v>1</v>
      </c>
      <c r="U299" s="26">
        <f t="shared" si="69"/>
        <v>1</v>
      </c>
      <c r="V299" s="180">
        <f t="shared" si="61"/>
        <v>45770</v>
      </c>
      <c r="W299" s="181">
        <f t="shared" si="59"/>
        <v>4</v>
      </c>
      <c r="AC299" t="s">
        <v>410</v>
      </c>
      <c r="AD299" s="180">
        <f t="shared" si="68"/>
        <v>45770</v>
      </c>
      <c r="AE299" s="177">
        <f t="shared" si="62"/>
        <v>41</v>
      </c>
      <c r="AF299" s="177">
        <f t="shared" si="63"/>
        <v>41</v>
      </c>
      <c r="AG299" s="177">
        <f t="shared" si="64"/>
        <v>33</v>
      </c>
      <c r="AH299" s="177">
        <f t="shared" si="65"/>
        <v>33</v>
      </c>
      <c r="AI299" s="177">
        <f t="shared" si="66"/>
        <v>33</v>
      </c>
    </row>
    <row r="300" spans="15:35" x14ac:dyDescent="0.25">
      <c r="O300" s="180">
        <f t="shared" si="67"/>
        <v>45771</v>
      </c>
      <c r="P300" s="181">
        <f t="shared" si="60"/>
        <v>5</v>
      </c>
      <c r="Q300" s="26">
        <f t="shared" si="69"/>
        <v>1</v>
      </c>
      <c r="R300" s="26">
        <f t="shared" si="69"/>
        <v>1</v>
      </c>
      <c r="S300" s="26">
        <f t="shared" si="69"/>
        <v>1</v>
      </c>
      <c r="T300" s="26">
        <f t="shared" si="69"/>
        <v>1</v>
      </c>
      <c r="U300" s="26">
        <f t="shared" si="69"/>
        <v>1</v>
      </c>
      <c r="V300" s="180">
        <f t="shared" si="61"/>
        <v>45771</v>
      </c>
      <c r="W300" s="181">
        <f t="shared" si="59"/>
        <v>5</v>
      </c>
      <c r="AC300" t="s">
        <v>13</v>
      </c>
      <c r="AD300" s="180">
        <f t="shared" si="68"/>
        <v>45771</v>
      </c>
      <c r="AE300" s="177">
        <f t="shared" si="62"/>
        <v>40</v>
      </c>
      <c r="AF300" s="177">
        <f t="shared" si="63"/>
        <v>40</v>
      </c>
      <c r="AG300" s="177">
        <f t="shared" si="64"/>
        <v>32</v>
      </c>
      <c r="AH300" s="177">
        <f t="shared" si="65"/>
        <v>32</v>
      </c>
      <c r="AI300" s="177">
        <f t="shared" si="66"/>
        <v>32</v>
      </c>
    </row>
    <row r="301" spans="15:35" x14ac:dyDescent="0.25">
      <c r="O301" s="180">
        <f t="shared" si="67"/>
        <v>45772</v>
      </c>
      <c r="P301" s="181">
        <f t="shared" si="60"/>
        <v>6</v>
      </c>
      <c r="Q301" s="26">
        <f t="shared" si="69"/>
        <v>1</v>
      </c>
      <c r="R301" s="26">
        <f t="shared" si="69"/>
        <v>1</v>
      </c>
      <c r="S301" s="26">
        <f t="shared" si="69"/>
        <v>1</v>
      </c>
      <c r="T301" s="26">
        <f t="shared" si="69"/>
        <v>1</v>
      </c>
      <c r="U301" s="26">
        <f t="shared" si="69"/>
        <v>1</v>
      </c>
      <c r="V301" s="180">
        <f t="shared" si="61"/>
        <v>45772</v>
      </c>
      <c r="W301" s="181">
        <f t="shared" si="59"/>
        <v>6</v>
      </c>
      <c r="AC301" t="s">
        <v>410</v>
      </c>
      <c r="AD301" s="180">
        <f t="shared" si="68"/>
        <v>45772</v>
      </c>
      <c r="AE301" s="177">
        <f t="shared" si="62"/>
        <v>39</v>
      </c>
      <c r="AF301" s="177">
        <f t="shared" si="63"/>
        <v>39</v>
      </c>
      <c r="AG301" s="177">
        <f t="shared" si="64"/>
        <v>31</v>
      </c>
      <c r="AH301" s="177">
        <f t="shared" si="65"/>
        <v>31</v>
      </c>
      <c r="AI301" s="177">
        <f t="shared" si="66"/>
        <v>31</v>
      </c>
    </row>
    <row r="302" spans="15:35" x14ac:dyDescent="0.25">
      <c r="O302" s="180">
        <f t="shared" si="67"/>
        <v>45773</v>
      </c>
      <c r="P302" s="181">
        <f t="shared" si="60"/>
        <v>7</v>
      </c>
      <c r="Q302" s="26" t="str">
        <f t="shared" si="69"/>
        <v/>
      </c>
      <c r="R302" s="26" t="str">
        <f t="shared" si="69"/>
        <v/>
      </c>
      <c r="S302" s="26" t="str">
        <f t="shared" si="69"/>
        <v/>
      </c>
      <c r="T302" s="26" t="str">
        <f t="shared" si="69"/>
        <v/>
      </c>
      <c r="U302" s="26" t="str">
        <f t="shared" si="69"/>
        <v/>
      </c>
      <c r="V302" s="180">
        <f t="shared" si="61"/>
        <v>45773</v>
      </c>
      <c r="W302" s="181">
        <f t="shared" si="59"/>
        <v>7</v>
      </c>
      <c r="AD302" s="180">
        <f t="shared" si="68"/>
        <v>45773</v>
      </c>
      <c r="AE302" s="177">
        <f t="shared" si="62"/>
        <v>39</v>
      </c>
      <c r="AF302" s="177">
        <f t="shared" si="63"/>
        <v>39</v>
      </c>
      <c r="AG302" s="177">
        <f t="shared" si="64"/>
        <v>31</v>
      </c>
      <c r="AH302" s="177">
        <f t="shared" si="65"/>
        <v>31</v>
      </c>
      <c r="AI302" s="177">
        <f t="shared" si="66"/>
        <v>31</v>
      </c>
    </row>
    <row r="303" spans="15:35" x14ac:dyDescent="0.25">
      <c r="O303" s="180">
        <f t="shared" si="67"/>
        <v>45774</v>
      </c>
      <c r="P303" s="181">
        <f t="shared" si="60"/>
        <v>1</v>
      </c>
      <c r="Q303" s="26" t="str">
        <f t="shared" si="69"/>
        <v/>
      </c>
      <c r="R303" s="26" t="str">
        <f t="shared" si="69"/>
        <v/>
      </c>
      <c r="S303" s="26" t="str">
        <f t="shared" si="69"/>
        <v/>
      </c>
      <c r="T303" s="26" t="str">
        <f t="shared" si="69"/>
        <v/>
      </c>
      <c r="U303" s="26" t="str">
        <f t="shared" si="69"/>
        <v/>
      </c>
      <c r="V303" s="180">
        <f t="shared" si="61"/>
        <v>45774</v>
      </c>
      <c r="W303" s="181">
        <f t="shared" si="59"/>
        <v>1</v>
      </c>
      <c r="AD303" s="180">
        <f t="shared" si="68"/>
        <v>45774</v>
      </c>
      <c r="AE303" s="177">
        <f t="shared" si="62"/>
        <v>39</v>
      </c>
      <c r="AF303" s="177">
        <f t="shared" si="63"/>
        <v>39</v>
      </c>
      <c r="AG303" s="177">
        <f t="shared" si="64"/>
        <v>31</v>
      </c>
      <c r="AH303" s="177">
        <f t="shared" si="65"/>
        <v>31</v>
      </c>
      <c r="AI303" s="177">
        <f t="shared" si="66"/>
        <v>31</v>
      </c>
    </row>
    <row r="304" spans="15:35" x14ac:dyDescent="0.25">
      <c r="O304" s="180">
        <f t="shared" si="67"/>
        <v>45775</v>
      </c>
      <c r="P304" s="181">
        <f t="shared" si="60"/>
        <v>2</v>
      </c>
      <c r="Q304" s="26">
        <f t="shared" si="69"/>
        <v>1</v>
      </c>
      <c r="R304" s="26">
        <f t="shared" si="69"/>
        <v>1</v>
      </c>
      <c r="S304" s="26">
        <f t="shared" si="69"/>
        <v>1</v>
      </c>
      <c r="T304" s="26">
        <f t="shared" si="69"/>
        <v>1</v>
      </c>
      <c r="U304" s="26">
        <f t="shared" si="69"/>
        <v>1</v>
      </c>
      <c r="V304" s="180">
        <f t="shared" si="61"/>
        <v>45775</v>
      </c>
      <c r="W304" s="181">
        <f t="shared" si="59"/>
        <v>2</v>
      </c>
      <c r="AC304" t="s">
        <v>13</v>
      </c>
      <c r="AD304" s="180">
        <f t="shared" si="68"/>
        <v>45775</v>
      </c>
      <c r="AE304" s="177">
        <f t="shared" si="62"/>
        <v>38</v>
      </c>
      <c r="AF304" s="177">
        <f t="shared" si="63"/>
        <v>38</v>
      </c>
      <c r="AG304" s="177">
        <f t="shared" si="64"/>
        <v>30</v>
      </c>
      <c r="AH304" s="177">
        <f t="shared" si="65"/>
        <v>30</v>
      </c>
      <c r="AI304" s="177">
        <f t="shared" si="66"/>
        <v>30</v>
      </c>
    </row>
    <row r="305" spans="15:35" x14ac:dyDescent="0.25">
      <c r="O305" s="180">
        <f t="shared" si="67"/>
        <v>45776</v>
      </c>
      <c r="P305" s="181">
        <f t="shared" si="60"/>
        <v>3</v>
      </c>
      <c r="Q305" s="26">
        <f t="shared" si="69"/>
        <v>1</v>
      </c>
      <c r="R305" s="26">
        <f t="shared" si="69"/>
        <v>1</v>
      </c>
      <c r="S305" s="26">
        <f t="shared" si="69"/>
        <v>1</v>
      </c>
      <c r="T305" s="26">
        <f t="shared" si="69"/>
        <v>1</v>
      </c>
      <c r="U305" s="26">
        <f t="shared" si="69"/>
        <v>1</v>
      </c>
      <c r="V305" s="180">
        <f t="shared" si="61"/>
        <v>45776</v>
      </c>
      <c r="W305" s="181">
        <f t="shared" si="59"/>
        <v>3</v>
      </c>
      <c r="AC305" t="s">
        <v>410</v>
      </c>
      <c r="AD305" s="180">
        <f t="shared" si="68"/>
        <v>45776</v>
      </c>
      <c r="AE305" s="177">
        <f t="shared" si="62"/>
        <v>37</v>
      </c>
      <c r="AF305" s="177">
        <f t="shared" si="63"/>
        <v>37</v>
      </c>
      <c r="AG305" s="177">
        <f t="shared" si="64"/>
        <v>29</v>
      </c>
      <c r="AH305" s="177">
        <f t="shared" si="65"/>
        <v>29</v>
      </c>
      <c r="AI305" s="177">
        <f t="shared" si="66"/>
        <v>29</v>
      </c>
    </row>
    <row r="306" spans="15:35" x14ac:dyDescent="0.25">
      <c r="O306" s="180">
        <f t="shared" si="67"/>
        <v>45777</v>
      </c>
      <c r="P306" s="181">
        <f t="shared" si="60"/>
        <v>4</v>
      </c>
      <c r="Q306" s="26">
        <f t="shared" si="69"/>
        <v>1</v>
      </c>
      <c r="R306" s="26">
        <f t="shared" si="69"/>
        <v>1</v>
      </c>
      <c r="S306" s="26">
        <f t="shared" si="69"/>
        <v>1</v>
      </c>
      <c r="T306" s="26">
        <f t="shared" si="69"/>
        <v>1</v>
      </c>
      <c r="U306" s="26">
        <f t="shared" si="69"/>
        <v>1</v>
      </c>
      <c r="V306" s="180">
        <f t="shared" si="61"/>
        <v>45777</v>
      </c>
      <c r="W306" s="181">
        <f t="shared" si="59"/>
        <v>4</v>
      </c>
      <c r="AC306" t="s">
        <v>13</v>
      </c>
      <c r="AD306" s="180">
        <f t="shared" si="68"/>
        <v>45777</v>
      </c>
      <c r="AE306" s="177">
        <f t="shared" si="62"/>
        <v>36</v>
      </c>
      <c r="AF306" s="177">
        <f t="shared" si="63"/>
        <v>36</v>
      </c>
      <c r="AG306" s="177">
        <f t="shared" si="64"/>
        <v>28</v>
      </c>
      <c r="AH306" s="177">
        <f t="shared" si="65"/>
        <v>28</v>
      </c>
      <c r="AI306" s="177">
        <f t="shared" si="66"/>
        <v>28</v>
      </c>
    </row>
    <row r="307" spans="15:35" x14ac:dyDescent="0.25">
      <c r="O307" s="180">
        <f t="shared" si="67"/>
        <v>45778</v>
      </c>
      <c r="P307" s="181">
        <f t="shared" si="60"/>
        <v>5</v>
      </c>
      <c r="Q307" s="26">
        <f t="shared" ref="Q307:U356" si="70">IF(OR($P307=2,$P307=3,$P307=4,$P307=5,$P307=6),1,"")</f>
        <v>1</v>
      </c>
      <c r="R307" s="26">
        <f t="shared" si="70"/>
        <v>1</v>
      </c>
      <c r="S307" s="26">
        <f t="shared" si="70"/>
        <v>1</v>
      </c>
      <c r="T307" s="26">
        <f t="shared" si="70"/>
        <v>1</v>
      </c>
      <c r="U307" s="26">
        <f t="shared" si="70"/>
        <v>1</v>
      </c>
      <c r="V307" s="180">
        <f t="shared" si="61"/>
        <v>45778</v>
      </c>
      <c r="W307" s="181">
        <f t="shared" si="59"/>
        <v>5</v>
      </c>
      <c r="AC307" t="s">
        <v>410</v>
      </c>
      <c r="AD307" s="180">
        <f t="shared" si="68"/>
        <v>45778</v>
      </c>
      <c r="AE307" s="177">
        <f t="shared" si="62"/>
        <v>35</v>
      </c>
      <c r="AF307" s="177">
        <f t="shared" si="63"/>
        <v>35</v>
      </c>
      <c r="AG307" s="177">
        <f t="shared" si="64"/>
        <v>27</v>
      </c>
      <c r="AH307" s="177">
        <f t="shared" si="65"/>
        <v>27</v>
      </c>
      <c r="AI307" s="177">
        <f t="shared" si="66"/>
        <v>27</v>
      </c>
    </row>
    <row r="308" spans="15:35" x14ac:dyDescent="0.25">
      <c r="O308" s="180">
        <f t="shared" si="67"/>
        <v>45779</v>
      </c>
      <c r="P308" s="181">
        <f t="shared" si="60"/>
        <v>6</v>
      </c>
      <c r="Q308" s="26">
        <f t="shared" si="70"/>
        <v>1</v>
      </c>
      <c r="R308" s="26">
        <f t="shared" si="70"/>
        <v>1</v>
      </c>
      <c r="S308" s="26">
        <f t="shared" si="70"/>
        <v>1</v>
      </c>
      <c r="T308" s="26">
        <f t="shared" si="70"/>
        <v>1</v>
      </c>
      <c r="U308" s="26">
        <f t="shared" si="70"/>
        <v>1</v>
      </c>
      <c r="V308" s="180">
        <f t="shared" si="61"/>
        <v>45779</v>
      </c>
      <c r="W308" s="181">
        <f t="shared" si="59"/>
        <v>6</v>
      </c>
      <c r="AC308" t="s">
        <v>13</v>
      </c>
      <c r="AD308" s="180">
        <f t="shared" si="68"/>
        <v>45779</v>
      </c>
      <c r="AE308" s="177">
        <f t="shared" si="62"/>
        <v>34</v>
      </c>
      <c r="AF308" s="177">
        <f t="shared" si="63"/>
        <v>34</v>
      </c>
      <c r="AG308" s="177">
        <f t="shared" si="64"/>
        <v>26</v>
      </c>
      <c r="AH308" s="177">
        <f t="shared" si="65"/>
        <v>26</v>
      </c>
      <c r="AI308" s="177">
        <f t="shared" si="66"/>
        <v>26</v>
      </c>
    </row>
    <row r="309" spans="15:35" x14ac:dyDescent="0.25">
      <c r="O309" s="180">
        <f t="shared" si="67"/>
        <v>45780</v>
      </c>
      <c r="P309" s="181">
        <f t="shared" si="60"/>
        <v>7</v>
      </c>
      <c r="Q309" s="26" t="str">
        <f t="shared" si="70"/>
        <v/>
      </c>
      <c r="R309" s="26" t="str">
        <f t="shared" si="70"/>
        <v/>
      </c>
      <c r="S309" s="26" t="str">
        <f t="shared" si="70"/>
        <v/>
      </c>
      <c r="T309" s="26" t="str">
        <f t="shared" si="70"/>
        <v/>
      </c>
      <c r="U309" s="26" t="str">
        <f t="shared" si="70"/>
        <v/>
      </c>
      <c r="V309" s="180">
        <f t="shared" si="61"/>
        <v>45780</v>
      </c>
      <c r="W309" s="181">
        <f t="shared" si="59"/>
        <v>7</v>
      </c>
      <c r="AD309" s="180">
        <f t="shared" si="68"/>
        <v>45780</v>
      </c>
      <c r="AE309" s="177">
        <f t="shared" si="62"/>
        <v>34</v>
      </c>
      <c r="AF309" s="177">
        <f t="shared" si="63"/>
        <v>34</v>
      </c>
      <c r="AG309" s="177">
        <f t="shared" si="64"/>
        <v>26</v>
      </c>
      <c r="AH309" s="177">
        <f t="shared" si="65"/>
        <v>26</v>
      </c>
      <c r="AI309" s="177">
        <f t="shared" si="66"/>
        <v>26</v>
      </c>
    </row>
    <row r="310" spans="15:35" x14ac:dyDescent="0.25">
      <c r="O310" s="180">
        <f t="shared" si="67"/>
        <v>45781</v>
      </c>
      <c r="P310" s="181">
        <f t="shared" si="60"/>
        <v>1</v>
      </c>
      <c r="Q310" s="26" t="str">
        <f t="shared" si="70"/>
        <v/>
      </c>
      <c r="R310" s="26" t="str">
        <f t="shared" si="70"/>
        <v/>
      </c>
      <c r="S310" s="26" t="str">
        <f t="shared" si="70"/>
        <v/>
      </c>
      <c r="T310" s="26" t="str">
        <f t="shared" si="70"/>
        <v/>
      </c>
      <c r="U310" s="26" t="str">
        <f t="shared" si="70"/>
        <v/>
      </c>
      <c r="V310" s="180">
        <f t="shared" si="61"/>
        <v>45781</v>
      </c>
      <c r="W310" s="181">
        <f t="shared" si="59"/>
        <v>1</v>
      </c>
      <c r="AD310" s="180">
        <f t="shared" si="68"/>
        <v>45781</v>
      </c>
      <c r="AE310" s="177">
        <f t="shared" si="62"/>
        <v>34</v>
      </c>
      <c r="AF310" s="177">
        <f t="shared" si="63"/>
        <v>34</v>
      </c>
      <c r="AG310" s="177">
        <f t="shared" si="64"/>
        <v>26</v>
      </c>
      <c r="AH310" s="177">
        <f t="shared" si="65"/>
        <v>26</v>
      </c>
      <c r="AI310" s="177">
        <f t="shared" si="66"/>
        <v>26</v>
      </c>
    </row>
    <row r="311" spans="15:35" x14ac:dyDescent="0.25">
      <c r="O311" s="180">
        <f t="shared" si="67"/>
        <v>45782</v>
      </c>
      <c r="P311" s="181">
        <f t="shared" si="60"/>
        <v>2</v>
      </c>
      <c r="Q311" s="26">
        <f t="shared" si="70"/>
        <v>1</v>
      </c>
      <c r="R311" s="26">
        <f t="shared" si="70"/>
        <v>1</v>
      </c>
      <c r="S311" s="26">
        <f t="shared" si="70"/>
        <v>1</v>
      </c>
      <c r="T311" s="26">
        <f t="shared" si="70"/>
        <v>1</v>
      </c>
      <c r="U311" s="26">
        <f t="shared" si="70"/>
        <v>1</v>
      </c>
      <c r="V311" s="180">
        <f t="shared" si="61"/>
        <v>45782</v>
      </c>
      <c r="W311" s="181">
        <f t="shared" si="59"/>
        <v>2</v>
      </c>
      <c r="AC311" t="s">
        <v>410</v>
      </c>
      <c r="AD311" s="180">
        <f t="shared" si="68"/>
        <v>45782</v>
      </c>
      <c r="AE311" s="177">
        <f t="shared" si="62"/>
        <v>33</v>
      </c>
      <c r="AF311" s="177">
        <f t="shared" si="63"/>
        <v>33</v>
      </c>
      <c r="AG311" s="177">
        <f t="shared" si="64"/>
        <v>25</v>
      </c>
      <c r="AH311" s="177">
        <f t="shared" si="65"/>
        <v>25</v>
      </c>
      <c r="AI311" s="177">
        <f t="shared" si="66"/>
        <v>25</v>
      </c>
    </row>
    <row r="312" spans="15:35" x14ac:dyDescent="0.25">
      <c r="O312" s="180">
        <f t="shared" si="67"/>
        <v>45783</v>
      </c>
      <c r="P312" s="181">
        <f t="shared" si="60"/>
        <v>3</v>
      </c>
      <c r="Q312" s="26">
        <f t="shared" si="70"/>
        <v>1</v>
      </c>
      <c r="R312" s="26">
        <f t="shared" si="70"/>
        <v>1</v>
      </c>
      <c r="S312" s="26">
        <f t="shared" si="70"/>
        <v>1</v>
      </c>
      <c r="T312" s="26">
        <f t="shared" si="70"/>
        <v>1</v>
      </c>
      <c r="U312" s="26">
        <f t="shared" si="70"/>
        <v>1</v>
      </c>
      <c r="V312" s="180">
        <f t="shared" si="61"/>
        <v>45783</v>
      </c>
      <c r="W312" s="181">
        <f t="shared" si="59"/>
        <v>3</v>
      </c>
      <c r="AC312" t="s">
        <v>13</v>
      </c>
      <c r="AD312" s="180">
        <f t="shared" si="68"/>
        <v>45783</v>
      </c>
      <c r="AE312" s="177">
        <f t="shared" si="62"/>
        <v>32</v>
      </c>
      <c r="AF312" s="177">
        <f t="shared" si="63"/>
        <v>32</v>
      </c>
      <c r="AG312" s="177">
        <f t="shared" si="64"/>
        <v>24</v>
      </c>
      <c r="AH312" s="177">
        <f t="shared" si="65"/>
        <v>24</v>
      </c>
      <c r="AI312" s="177">
        <f t="shared" si="66"/>
        <v>24</v>
      </c>
    </row>
    <row r="313" spans="15:35" x14ac:dyDescent="0.25">
      <c r="O313" s="180">
        <f t="shared" si="67"/>
        <v>45784</v>
      </c>
      <c r="P313" s="181">
        <f t="shared" si="60"/>
        <v>4</v>
      </c>
      <c r="Q313" s="26">
        <f t="shared" si="70"/>
        <v>1</v>
      </c>
      <c r="R313" s="26">
        <f t="shared" si="70"/>
        <v>1</v>
      </c>
      <c r="S313" s="26">
        <f t="shared" si="70"/>
        <v>1</v>
      </c>
      <c r="T313" s="26">
        <f t="shared" si="70"/>
        <v>1</v>
      </c>
      <c r="U313" s="26">
        <f t="shared" si="70"/>
        <v>1</v>
      </c>
      <c r="V313" s="180">
        <f t="shared" si="61"/>
        <v>45784</v>
      </c>
      <c r="W313" s="181">
        <f t="shared" si="59"/>
        <v>4</v>
      </c>
      <c r="AC313" t="s">
        <v>410</v>
      </c>
      <c r="AD313" s="180">
        <f t="shared" si="68"/>
        <v>45784</v>
      </c>
      <c r="AE313" s="177">
        <f t="shared" si="62"/>
        <v>31</v>
      </c>
      <c r="AF313" s="177">
        <f t="shared" si="63"/>
        <v>31</v>
      </c>
      <c r="AG313" s="177">
        <f t="shared" si="64"/>
        <v>23</v>
      </c>
      <c r="AH313" s="177">
        <f t="shared" si="65"/>
        <v>23</v>
      </c>
      <c r="AI313" s="177">
        <f t="shared" si="66"/>
        <v>23</v>
      </c>
    </row>
    <row r="314" spans="15:35" x14ac:dyDescent="0.25">
      <c r="O314" s="180">
        <f t="shared" si="67"/>
        <v>45785</v>
      </c>
      <c r="P314" s="181">
        <f t="shared" si="60"/>
        <v>5</v>
      </c>
      <c r="Q314" s="26">
        <f t="shared" si="70"/>
        <v>1</v>
      </c>
      <c r="R314" s="26">
        <f t="shared" si="70"/>
        <v>1</v>
      </c>
      <c r="S314" s="26">
        <f t="shared" si="70"/>
        <v>1</v>
      </c>
      <c r="T314" s="26">
        <f t="shared" si="70"/>
        <v>1</v>
      </c>
      <c r="U314" s="26">
        <f t="shared" si="70"/>
        <v>1</v>
      </c>
      <c r="V314" s="180">
        <f t="shared" si="61"/>
        <v>45785</v>
      </c>
      <c r="W314" s="181">
        <f t="shared" si="59"/>
        <v>5</v>
      </c>
      <c r="AC314" t="s">
        <v>13</v>
      </c>
      <c r="AD314" s="180">
        <f t="shared" si="68"/>
        <v>45785</v>
      </c>
      <c r="AE314" s="177">
        <f t="shared" si="62"/>
        <v>30</v>
      </c>
      <c r="AF314" s="177">
        <f t="shared" si="63"/>
        <v>30</v>
      </c>
      <c r="AG314" s="177">
        <f t="shared" si="64"/>
        <v>22</v>
      </c>
      <c r="AH314" s="177">
        <f t="shared" si="65"/>
        <v>22</v>
      </c>
      <c r="AI314" s="177">
        <f t="shared" si="66"/>
        <v>22</v>
      </c>
    </row>
    <row r="315" spans="15:35" x14ac:dyDescent="0.25">
      <c r="O315" s="180">
        <f t="shared" si="67"/>
        <v>45786</v>
      </c>
      <c r="P315" s="181">
        <f t="shared" si="60"/>
        <v>6</v>
      </c>
      <c r="Q315" s="26">
        <f t="shared" si="70"/>
        <v>1</v>
      </c>
      <c r="R315" s="26">
        <f t="shared" si="70"/>
        <v>1</v>
      </c>
      <c r="S315" s="26">
        <f t="shared" si="70"/>
        <v>1</v>
      </c>
      <c r="T315" s="26">
        <f t="shared" si="70"/>
        <v>1</v>
      </c>
      <c r="U315" s="26">
        <f t="shared" si="70"/>
        <v>1</v>
      </c>
      <c r="V315" s="180">
        <f t="shared" si="61"/>
        <v>45786</v>
      </c>
      <c r="W315" s="181">
        <f t="shared" si="59"/>
        <v>6</v>
      </c>
      <c r="AC315" t="s">
        <v>410</v>
      </c>
      <c r="AD315" s="180">
        <f t="shared" si="68"/>
        <v>45786</v>
      </c>
      <c r="AE315" s="177">
        <f t="shared" si="62"/>
        <v>29</v>
      </c>
      <c r="AF315" s="177">
        <f t="shared" si="63"/>
        <v>29</v>
      </c>
      <c r="AG315" s="177">
        <f t="shared" si="64"/>
        <v>21</v>
      </c>
      <c r="AH315" s="177">
        <f t="shared" si="65"/>
        <v>21</v>
      </c>
      <c r="AI315" s="177">
        <f t="shared" si="66"/>
        <v>21</v>
      </c>
    </row>
    <row r="316" spans="15:35" x14ac:dyDescent="0.25">
      <c r="O316" s="180">
        <f t="shared" si="67"/>
        <v>45787</v>
      </c>
      <c r="P316" s="181">
        <f t="shared" si="60"/>
        <v>7</v>
      </c>
      <c r="Q316" s="26" t="str">
        <f t="shared" si="70"/>
        <v/>
      </c>
      <c r="R316" s="26" t="str">
        <f t="shared" si="70"/>
        <v/>
      </c>
      <c r="S316" s="26" t="str">
        <f t="shared" si="70"/>
        <v/>
      </c>
      <c r="T316" s="26" t="str">
        <f t="shared" si="70"/>
        <v/>
      </c>
      <c r="U316" s="26" t="str">
        <f t="shared" si="70"/>
        <v/>
      </c>
      <c r="V316" s="180">
        <f t="shared" si="61"/>
        <v>45787</v>
      </c>
      <c r="W316" s="181">
        <f t="shared" si="59"/>
        <v>7</v>
      </c>
      <c r="AD316" s="180">
        <f t="shared" si="68"/>
        <v>45787</v>
      </c>
      <c r="AE316" s="177">
        <f t="shared" si="62"/>
        <v>29</v>
      </c>
      <c r="AF316" s="177">
        <f t="shared" si="63"/>
        <v>29</v>
      </c>
      <c r="AG316" s="177">
        <f t="shared" si="64"/>
        <v>21</v>
      </c>
      <c r="AH316" s="177">
        <f t="shared" si="65"/>
        <v>21</v>
      </c>
      <c r="AI316" s="177">
        <f t="shared" si="66"/>
        <v>21</v>
      </c>
    </row>
    <row r="317" spans="15:35" x14ac:dyDescent="0.25">
      <c r="O317" s="180">
        <f t="shared" si="67"/>
        <v>45788</v>
      </c>
      <c r="P317" s="181">
        <f t="shared" si="60"/>
        <v>1</v>
      </c>
      <c r="Q317" s="26" t="str">
        <f t="shared" si="70"/>
        <v/>
      </c>
      <c r="R317" s="26" t="str">
        <f t="shared" si="70"/>
        <v/>
      </c>
      <c r="S317" s="26" t="str">
        <f t="shared" si="70"/>
        <v/>
      </c>
      <c r="T317" s="26" t="str">
        <f t="shared" si="70"/>
        <v/>
      </c>
      <c r="U317" s="26" t="str">
        <f t="shared" si="70"/>
        <v/>
      </c>
      <c r="V317" s="180">
        <f t="shared" si="61"/>
        <v>45788</v>
      </c>
      <c r="W317" s="181">
        <f t="shared" si="59"/>
        <v>1</v>
      </c>
      <c r="AD317" s="180">
        <f t="shared" si="68"/>
        <v>45788</v>
      </c>
      <c r="AE317" s="177">
        <f t="shared" si="62"/>
        <v>29</v>
      </c>
      <c r="AF317" s="177">
        <f t="shared" si="63"/>
        <v>29</v>
      </c>
      <c r="AG317" s="177">
        <f t="shared" si="64"/>
        <v>21</v>
      </c>
      <c r="AH317" s="177">
        <f t="shared" si="65"/>
        <v>21</v>
      </c>
      <c r="AI317" s="177">
        <f t="shared" si="66"/>
        <v>21</v>
      </c>
    </row>
    <row r="318" spans="15:35" x14ac:dyDescent="0.25">
      <c r="O318" s="180">
        <f t="shared" si="67"/>
        <v>45789</v>
      </c>
      <c r="P318" s="181">
        <f t="shared" si="60"/>
        <v>2</v>
      </c>
      <c r="Q318" s="26">
        <f t="shared" si="70"/>
        <v>1</v>
      </c>
      <c r="R318" s="26">
        <f t="shared" si="70"/>
        <v>1</v>
      </c>
      <c r="S318" s="26">
        <f t="shared" si="70"/>
        <v>1</v>
      </c>
      <c r="T318" s="26">
        <f t="shared" si="70"/>
        <v>1</v>
      </c>
      <c r="U318" s="26">
        <f t="shared" si="70"/>
        <v>1</v>
      </c>
      <c r="V318" s="180">
        <f t="shared" si="61"/>
        <v>45789</v>
      </c>
      <c r="W318" s="181">
        <f t="shared" si="59"/>
        <v>2</v>
      </c>
      <c r="AC318" t="s">
        <v>13</v>
      </c>
      <c r="AD318" s="180">
        <f t="shared" si="68"/>
        <v>45789</v>
      </c>
      <c r="AE318" s="177">
        <f t="shared" si="62"/>
        <v>28</v>
      </c>
      <c r="AF318" s="177">
        <f t="shared" si="63"/>
        <v>28</v>
      </c>
      <c r="AG318" s="177">
        <f t="shared" si="64"/>
        <v>20</v>
      </c>
      <c r="AH318" s="177">
        <f t="shared" si="65"/>
        <v>20</v>
      </c>
      <c r="AI318" s="177">
        <f t="shared" si="66"/>
        <v>20</v>
      </c>
    </row>
    <row r="319" spans="15:35" x14ac:dyDescent="0.25">
      <c r="O319" s="180">
        <f t="shared" si="67"/>
        <v>45790</v>
      </c>
      <c r="P319" s="181">
        <f t="shared" si="60"/>
        <v>3</v>
      </c>
      <c r="Q319" s="26">
        <f t="shared" si="70"/>
        <v>1</v>
      </c>
      <c r="R319" s="26">
        <f t="shared" si="70"/>
        <v>1</v>
      </c>
      <c r="S319" s="26">
        <f t="shared" si="70"/>
        <v>1</v>
      </c>
      <c r="T319" s="26">
        <f t="shared" si="70"/>
        <v>1</v>
      </c>
      <c r="U319" s="26">
        <f t="shared" si="70"/>
        <v>1</v>
      </c>
      <c r="V319" s="180">
        <f t="shared" si="61"/>
        <v>45790</v>
      </c>
      <c r="W319" s="181">
        <f t="shared" si="59"/>
        <v>3</v>
      </c>
      <c r="AC319" t="s">
        <v>410</v>
      </c>
      <c r="AD319" s="180">
        <f t="shared" si="68"/>
        <v>45790</v>
      </c>
      <c r="AE319" s="177">
        <f t="shared" si="62"/>
        <v>27</v>
      </c>
      <c r="AF319" s="177">
        <f t="shared" si="63"/>
        <v>27</v>
      </c>
      <c r="AG319" s="177">
        <f t="shared" si="64"/>
        <v>19</v>
      </c>
      <c r="AH319" s="177">
        <f t="shared" si="65"/>
        <v>19</v>
      </c>
      <c r="AI319" s="177">
        <f t="shared" si="66"/>
        <v>19</v>
      </c>
    </row>
    <row r="320" spans="15:35" x14ac:dyDescent="0.25">
      <c r="O320" s="180">
        <f t="shared" si="67"/>
        <v>45791</v>
      </c>
      <c r="P320" s="181">
        <f t="shared" si="60"/>
        <v>4</v>
      </c>
      <c r="Q320" s="26">
        <f t="shared" si="70"/>
        <v>1</v>
      </c>
      <c r="R320" s="26">
        <f t="shared" si="70"/>
        <v>1</v>
      </c>
      <c r="S320" s="26">
        <f t="shared" si="70"/>
        <v>1</v>
      </c>
      <c r="T320" s="26">
        <f t="shared" si="70"/>
        <v>1</v>
      </c>
      <c r="U320" s="26">
        <f t="shared" si="70"/>
        <v>1</v>
      </c>
      <c r="V320" s="180">
        <f t="shared" si="61"/>
        <v>45791</v>
      </c>
      <c r="W320" s="181">
        <f t="shared" si="59"/>
        <v>4</v>
      </c>
      <c r="AC320" t="s">
        <v>13</v>
      </c>
      <c r="AD320" s="180">
        <f t="shared" si="68"/>
        <v>45791</v>
      </c>
      <c r="AE320" s="177">
        <f t="shared" si="62"/>
        <v>26</v>
      </c>
      <c r="AF320" s="177">
        <f t="shared" si="63"/>
        <v>26</v>
      </c>
      <c r="AG320" s="177">
        <f t="shared" si="64"/>
        <v>18</v>
      </c>
      <c r="AH320" s="177">
        <f t="shared" si="65"/>
        <v>18</v>
      </c>
      <c r="AI320" s="177">
        <f t="shared" si="66"/>
        <v>18</v>
      </c>
    </row>
    <row r="321" spans="15:35" x14ac:dyDescent="0.25">
      <c r="O321" s="180">
        <f t="shared" si="67"/>
        <v>45792</v>
      </c>
      <c r="P321" s="181">
        <f t="shared" si="60"/>
        <v>5</v>
      </c>
      <c r="Q321" s="26">
        <f t="shared" si="70"/>
        <v>1</v>
      </c>
      <c r="R321" s="26">
        <f t="shared" si="70"/>
        <v>1</v>
      </c>
      <c r="S321" s="26">
        <f t="shared" si="70"/>
        <v>1</v>
      </c>
      <c r="T321" s="26">
        <f t="shared" si="70"/>
        <v>1</v>
      </c>
      <c r="U321" s="26">
        <f t="shared" si="70"/>
        <v>1</v>
      </c>
      <c r="V321" s="180">
        <f t="shared" si="61"/>
        <v>45792</v>
      </c>
      <c r="W321" s="181">
        <f t="shared" si="59"/>
        <v>5</v>
      </c>
      <c r="AC321" t="s">
        <v>410</v>
      </c>
      <c r="AD321" s="180">
        <f t="shared" si="68"/>
        <v>45792</v>
      </c>
      <c r="AE321" s="177">
        <f t="shared" si="62"/>
        <v>25</v>
      </c>
      <c r="AF321" s="177">
        <f t="shared" si="63"/>
        <v>25</v>
      </c>
      <c r="AG321" s="177">
        <f t="shared" si="64"/>
        <v>17</v>
      </c>
      <c r="AH321" s="177">
        <f t="shared" si="65"/>
        <v>17</v>
      </c>
      <c r="AI321" s="177">
        <f t="shared" si="66"/>
        <v>17</v>
      </c>
    </row>
    <row r="322" spans="15:35" x14ac:dyDescent="0.25">
      <c r="O322" s="180">
        <f t="shared" si="67"/>
        <v>45793</v>
      </c>
      <c r="P322" s="181">
        <f t="shared" si="60"/>
        <v>6</v>
      </c>
      <c r="Q322" s="26">
        <f t="shared" si="70"/>
        <v>1</v>
      </c>
      <c r="R322" s="26">
        <f t="shared" si="70"/>
        <v>1</v>
      </c>
      <c r="S322" s="26">
        <f t="shared" si="70"/>
        <v>1</v>
      </c>
      <c r="T322" s="26">
        <f t="shared" si="70"/>
        <v>1</v>
      </c>
      <c r="U322" s="26">
        <f t="shared" si="70"/>
        <v>1</v>
      </c>
      <c r="V322" s="180">
        <f t="shared" si="61"/>
        <v>45793</v>
      </c>
      <c r="W322" s="181">
        <f t="shared" si="59"/>
        <v>6</v>
      </c>
      <c r="AC322" t="s">
        <v>13</v>
      </c>
      <c r="AD322" s="180">
        <f t="shared" si="68"/>
        <v>45793</v>
      </c>
      <c r="AE322" s="177">
        <f t="shared" si="62"/>
        <v>24</v>
      </c>
      <c r="AF322" s="177">
        <f t="shared" si="63"/>
        <v>24</v>
      </c>
      <c r="AG322" s="177">
        <f t="shared" si="64"/>
        <v>16</v>
      </c>
      <c r="AH322" s="177">
        <f t="shared" si="65"/>
        <v>16</v>
      </c>
      <c r="AI322" s="177">
        <f t="shared" si="66"/>
        <v>16</v>
      </c>
    </row>
    <row r="323" spans="15:35" x14ac:dyDescent="0.25">
      <c r="O323" s="180">
        <f t="shared" si="67"/>
        <v>45794</v>
      </c>
      <c r="P323" s="181">
        <f t="shared" si="60"/>
        <v>7</v>
      </c>
      <c r="Q323" s="26" t="str">
        <f t="shared" si="70"/>
        <v/>
      </c>
      <c r="R323" s="26" t="str">
        <f t="shared" si="70"/>
        <v/>
      </c>
      <c r="S323" s="26" t="str">
        <f t="shared" si="70"/>
        <v/>
      </c>
      <c r="T323" s="26" t="str">
        <f t="shared" si="70"/>
        <v/>
      </c>
      <c r="U323" s="26" t="str">
        <f t="shared" si="70"/>
        <v/>
      </c>
      <c r="V323" s="180">
        <f t="shared" si="61"/>
        <v>45794</v>
      </c>
      <c r="W323" s="181">
        <f t="shared" ref="W323:W386" si="71">WEEKDAY(V323)</f>
        <v>7</v>
      </c>
      <c r="AD323" s="180">
        <f t="shared" si="68"/>
        <v>45794</v>
      </c>
      <c r="AE323" s="177">
        <f t="shared" si="62"/>
        <v>24</v>
      </c>
      <c r="AF323" s="177">
        <f t="shared" si="63"/>
        <v>24</v>
      </c>
      <c r="AG323" s="177">
        <f t="shared" si="64"/>
        <v>16</v>
      </c>
      <c r="AH323" s="177">
        <f t="shared" si="65"/>
        <v>16</v>
      </c>
      <c r="AI323" s="177">
        <f t="shared" si="66"/>
        <v>16</v>
      </c>
    </row>
    <row r="324" spans="15:35" x14ac:dyDescent="0.25">
      <c r="O324" s="180">
        <f t="shared" si="67"/>
        <v>45795</v>
      </c>
      <c r="P324" s="181">
        <f t="shared" ref="P324:P387" si="72">WEEKDAY(O324)</f>
        <v>1</v>
      </c>
      <c r="Q324" s="26" t="str">
        <f t="shared" si="70"/>
        <v/>
      </c>
      <c r="R324" s="26" t="str">
        <f t="shared" si="70"/>
        <v/>
      </c>
      <c r="S324" s="26" t="str">
        <f t="shared" si="70"/>
        <v/>
      </c>
      <c r="T324" s="26" t="str">
        <f t="shared" si="70"/>
        <v/>
      </c>
      <c r="U324" s="26" t="str">
        <f t="shared" si="70"/>
        <v/>
      </c>
      <c r="V324" s="180">
        <f t="shared" ref="V324:V387" si="73">V323+1</f>
        <v>45795</v>
      </c>
      <c r="W324" s="181">
        <f t="shared" si="71"/>
        <v>1</v>
      </c>
      <c r="AD324" s="180">
        <f t="shared" si="68"/>
        <v>45795</v>
      </c>
      <c r="AE324" s="177">
        <f t="shared" si="62"/>
        <v>24</v>
      </c>
      <c r="AF324" s="177">
        <f t="shared" si="63"/>
        <v>24</v>
      </c>
      <c r="AG324" s="177">
        <f t="shared" si="64"/>
        <v>16</v>
      </c>
      <c r="AH324" s="177">
        <f t="shared" si="65"/>
        <v>16</v>
      </c>
      <c r="AI324" s="177">
        <f t="shared" si="66"/>
        <v>16</v>
      </c>
    </row>
    <row r="325" spans="15:35" x14ac:dyDescent="0.25">
      <c r="O325" s="180">
        <f t="shared" si="67"/>
        <v>45796</v>
      </c>
      <c r="P325" s="181">
        <f t="shared" si="72"/>
        <v>2</v>
      </c>
      <c r="Q325" s="26">
        <f t="shared" si="70"/>
        <v>1</v>
      </c>
      <c r="R325" s="26">
        <f t="shared" si="70"/>
        <v>1</v>
      </c>
      <c r="S325" s="26">
        <f t="shared" si="70"/>
        <v>1</v>
      </c>
      <c r="T325" s="26">
        <f t="shared" si="70"/>
        <v>1</v>
      </c>
      <c r="U325" s="26">
        <f t="shared" si="70"/>
        <v>1</v>
      </c>
      <c r="V325" s="180">
        <f t="shared" si="73"/>
        <v>45796</v>
      </c>
      <c r="W325" s="181">
        <f t="shared" si="71"/>
        <v>2</v>
      </c>
      <c r="AC325" t="s">
        <v>410</v>
      </c>
      <c r="AD325" s="180">
        <f t="shared" si="68"/>
        <v>45796</v>
      </c>
      <c r="AE325" s="177">
        <f t="shared" ref="AE325:AE388" si="74">AE324-(IF(Q325=1,1,0))</f>
        <v>23</v>
      </c>
      <c r="AF325" s="177">
        <f t="shared" ref="AF325:AF388" si="75">AF324-(IF(R325=1,1,0))</f>
        <v>23</v>
      </c>
      <c r="AG325" s="177">
        <f t="shared" ref="AG325:AG388" si="76">AG324-(IF(S325=1,1,0))</f>
        <v>15</v>
      </c>
      <c r="AH325" s="177">
        <f t="shared" ref="AH325:AH388" si="77">AH324-(IF(T325=1,1,0))</f>
        <v>15</v>
      </c>
      <c r="AI325" s="177">
        <f t="shared" ref="AI325:AI388" si="78">AI324-(IF(U325=1,1,0))</f>
        <v>15</v>
      </c>
    </row>
    <row r="326" spans="15:35" x14ac:dyDescent="0.25">
      <c r="O326" s="180">
        <f t="shared" ref="O326:O389" si="79">O325+1</f>
        <v>45797</v>
      </c>
      <c r="P326" s="181">
        <f t="shared" si="72"/>
        <v>3</v>
      </c>
      <c r="Q326" s="26">
        <f t="shared" si="70"/>
        <v>1</v>
      </c>
      <c r="R326" s="26">
        <f t="shared" si="70"/>
        <v>1</v>
      </c>
      <c r="S326" s="26">
        <f t="shared" si="70"/>
        <v>1</v>
      </c>
      <c r="T326" s="26">
        <f t="shared" si="70"/>
        <v>1</v>
      </c>
      <c r="U326" s="26">
        <f t="shared" si="70"/>
        <v>1</v>
      </c>
      <c r="V326" s="180">
        <f t="shared" si="73"/>
        <v>45797</v>
      </c>
      <c r="W326" s="181">
        <f t="shared" si="71"/>
        <v>3</v>
      </c>
      <c r="AC326" t="s">
        <v>13</v>
      </c>
      <c r="AD326" s="180">
        <f t="shared" ref="AD326:AD389" si="80">AD325+1</f>
        <v>45797</v>
      </c>
      <c r="AE326" s="177">
        <f t="shared" si="74"/>
        <v>22</v>
      </c>
      <c r="AF326" s="177">
        <f t="shared" si="75"/>
        <v>22</v>
      </c>
      <c r="AG326" s="177">
        <f t="shared" si="76"/>
        <v>14</v>
      </c>
      <c r="AH326" s="177">
        <f t="shared" si="77"/>
        <v>14</v>
      </c>
      <c r="AI326" s="177">
        <f t="shared" si="78"/>
        <v>14</v>
      </c>
    </row>
    <row r="327" spans="15:35" x14ac:dyDescent="0.25">
      <c r="O327" s="180">
        <f t="shared" si="79"/>
        <v>45798</v>
      </c>
      <c r="P327" s="181">
        <f t="shared" si="72"/>
        <v>4</v>
      </c>
      <c r="Q327" s="26">
        <f t="shared" si="70"/>
        <v>1</v>
      </c>
      <c r="R327" s="26">
        <f t="shared" si="70"/>
        <v>1</v>
      </c>
      <c r="S327" s="26">
        <f t="shared" si="70"/>
        <v>1</v>
      </c>
      <c r="T327" s="26">
        <f t="shared" si="70"/>
        <v>1</v>
      </c>
      <c r="U327" s="26">
        <f t="shared" si="70"/>
        <v>1</v>
      </c>
      <c r="V327" s="180">
        <f t="shared" si="73"/>
        <v>45798</v>
      </c>
      <c r="W327" s="181">
        <f t="shared" si="71"/>
        <v>4</v>
      </c>
      <c r="AC327" t="s">
        <v>410</v>
      </c>
      <c r="AD327" s="180">
        <f t="shared" si="80"/>
        <v>45798</v>
      </c>
      <c r="AE327" s="177">
        <f t="shared" si="74"/>
        <v>21</v>
      </c>
      <c r="AF327" s="177">
        <f t="shared" si="75"/>
        <v>21</v>
      </c>
      <c r="AG327" s="177">
        <f t="shared" si="76"/>
        <v>13</v>
      </c>
      <c r="AH327" s="177">
        <f t="shared" si="77"/>
        <v>13</v>
      </c>
      <c r="AI327" s="177">
        <f t="shared" si="78"/>
        <v>13</v>
      </c>
    </row>
    <row r="328" spans="15:35" x14ac:dyDescent="0.25">
      <c r="O328" s="180">
        <f t="shared" si="79"/>
        <v>45799</v>
      </c>
      <c r="P328" s="181">
        <f t="shared" si="72"/>
        <v>5</v>
      </c>
      <c r="Q328" s="26">
        <f t="shared" si="70"/>
        <v>1</v>
      </c>
      <c r="R328" s="26">
        <f t="shared" si="70"/>
        <v>1</v>
      </c>
      <c r="S328" s="26">
        <f t="shared" si="70"/>
        <v>1</v>
      </c>
      <c r="T328" s="26">
        <f t="shared" si="70"/>
        <v>1</v>
      </c>
      <c r="U328" s="26">
        <f t="shared" si="70"/>
        <v>1</v>
      </c>
      <c r="V328" s="180">
        <f t="shared" si="73"/>
        <v>45799</v>
      </c>
      <c r="W328" s="181">
        <f t="shared" si="71"/>
        <v>5</v>
      </c>
      <c r="AC328" t="s">
        <v>13</v>
      </c>
      <c r="AD328" s="180">
        <f t="shared" si="80"/>
        <v>45799</v>
      </c>
      <c r="AE328" s="177">
        <f t="shared" si="74"/>
        <v>20</v>
      </c>
      <c r="AF328" s="177">
        <f t="shared" si="75"/>
        <v>20</v>
      </c>
      <c r="AG328" s="177">
        <f t="shared" si="76"/>
        <v>12</v>
      </c>
      <c r="AH328" s="177">
        <f t="shared" si="77"/>
        <v>12</v>
      </c>
      <c r="AI328" s="177">
        <f t="shared" si="78"/>
        <v>12</v>
      </c>
    </row>
    <row r="329" spans="15:35" x14ac:dyDescent="0.25">
      <c r="O329" s="180">
        <f t="shared" si="79"/>
        <v>45800</v>
      </c>
      <c r="P329" s="181">
        <f t="shared" si="72"/>
        <v>6</v>
      </c>
      <c r="Q329" s="26">
        <f t="shared" si="70"/>
        <v>1</v>
      </c>
      <c r="R329" s="26">
        <f t="shared" si="70"/>
        <v>1</v>
      </c>
      <c r="S329" s="26">
        <f t="shared" si="70"/>
        <v>1</v>
      </c>
      <c r="T329" s="26">
        <f t="shared" si="70"/>
        <v>1</v>
      </c>
      <c r="U329" s="26">
        <f t="shared" si="70"/>
        <v>1</v>
      </c>
      <c r="V329" s="180">
        <f t="shared" si="73"/>
        <v>45800</v>
      </c>
      <c r="W329" s="181">
        <f t="shared" si="71"/>
        <v>6</v>
      </c>
      <c r="AC329" t="s">
        <v>410</v>
      </c>
      <c r="AD329" s="180">
        <f t="shared" si="80"/>
        <v>45800</v>
      </c>
      <c r="AE329" s="177">
        <f t="shared" si="74"/>
        <v>19</v>
      </c>
      <c r="AF329" s="177">
        <f t="shared" si="75"/>
        <v>19</v>
      </c>
      <c r="AG329" s="177">
        <f t="shared" si="76"/>
        <v>11</v>
      </c>
      <c r="AH329" s="177">
        <f t="shared" si="77"/>
        <v>11</v>
      </c>
      <c r="AI329" s="177">
        <f t="shared" si="78"/>
        <v>11</v>
      </c>
    </row>
    <row r="330" spans="15:35" x14ac:dyDescent="0.25">
      <c r="O330" s="180">
        <f t="shared" si="79"/>
        <v>45801</v>
      </c>
      <c r="P330" s="181">
        <f t="shared" si="72"/>
        <v>7</v>
      </c>
      <c r="Q330" s="26" t="str">
        <f t="shared" si="70"/>
        <v/>
      </c>
      <c r="R330" s="26" t="str">
        <f t="shared" si="70"/>
        <v/>
      </c>
      <c r="S330" s="26" t="str">
        <f t="shared" si="70"/>
        <v/>
      </c>
      <c r="T330" s="26" t="str">
        <f t="shared" si="70"/>
        <v/>
      </c>
      <c r="U330" s="26" t="str">
        <f t="shared" si="70"/>
        <v/>
      </c>
      <c r="V330" s="180">
        <f t="shared" si="73"/>
        <v>45801</v>
      </c>
      <c r="W330" s="181">
        <f t="shared" si="71"/>
        <v>7</v>
      </c>
      <c r="AD330" s="180">
        <f t="shared" si="80"/>
        <v>45801</v>
      </c>
      <c r="AE330" s="177">
        <f t="shared" si="74"/>
        <v>19</v>
      </c>
      <c r="AF330" s="177">
        <f t="shared" si="75"/>
        <v>19</v>
      </c>
      <c r="AG330" s="177">
        <f t="shared" si="76"/>
        <v>11</v>
      </c>
      <c r="AH330" s="177">
        <f t="shared" si="77"/>
        <v>11</v>
      </c>
      <c r="AI330" s="177">
        <f t="shared" si="78"/>
        <v>11</v>
      </c>
    </row>
    <row r="331" spans="15:35" x14ac:dyDescent="0.25">
      <c r="O331" s="180">
        <f t="shared" si="79"/>
        <v>45802</v>
      </c>
      <c r="P331" s="181">
        <f t="shared" si="72"/>
        <v>1</v>
      </c>
      <c r="Q331" s="26" t="str">
        <f t="shared" si="70"/>
        <v/>
      </c>
      <c r="R331" s="26" t="str">
        <f t="shared" si="70"/>
        <v/>
      </c>
      <c r="S331" s="26" t="str">
        <f t="shared" si="70"/>
        <v/>
      </c>
      <c r="T331" s="26" t="str">
        <f t="shared" si="70"/>
        <v/>
      </c>
      <c r="U331" s="26" t="str">
        <f t="shared" si="70"/>
        <v/>
      </c>
      <c r="V331" s="180">
        <f t="shared" si="73"/>
        <v>45802</v>
      </c>
      <c r="W331" s="181">
        <f t="shared" si="71"/>
        <v>1</v>
      </c>
      <c r="AD331" s="180">
        <f t="shared" si="80"/>
        <v>45802</v>
      </c>
      <c r="AE331" s="177">
        <f t="shared" si="74"/>
        <v>19</v>
      </c>
      <c r="AF331" s="177">
        <f t="shared" si="75"/>
        <v>19</v>
      </c>
      <c r="AG331" s="177">
        <f t="shared" si="76"/>
        <v>11</v>
      </c>
      <c r="AH331" s="177">
        <f t="shared" si="77"/>
        <v>11</v>
      </c>
      <c r="AI331" s="177">
        <f t="shared" si="78"/>
        <v>11</v>
      </c>
    </row>
    <row r="332" spans="15:35" x14ac:dyDescent="0.25">
      <c r="O332" s="180">
        <f t="shared" si="79"/>
        <v>45803</v>
      </c>
      <c r="P332" s="181">
        <f t="shared" si="72"/>
        <v>2</v>
      </c>
      <c r="Q332" s="26" t="s">
        <v>83</v>
      </c>
      <c r="R332" s="26" t="s">
        <v>83</v>
      </c>
      <c r="S332" s="26" t="s">
        <v>83</v>
      </c>
      <c r="T332" s="26" t="s">
        <v>83</v>
      </c>
      <c r="U332" s="26" t="s">
        <v>83</v>
      </c>
      <c r="V332" s="180">
        <f t="shared" si="73"/>
        <v>45803</v>
      </c>
      <c r="W332" s="181">
        <f t="shared" si="71"/>
        <v>2</v>
      </c>
      <c r="AD332" s="180">
        <f t="shared" si="80"/>
        <v>45803</v>
      </c>
      <c r="AE332" s="177">
        <f t="shared" si="74"/>
        <v>19</v>
      </c>
      <c r="AF332" s="177">
        <f t="shared" si="75"/>
        <v>19</v>
      </c>
      <c r="AG332" s="177">
        <f t="shared" si="76"/>
        <v>11</v>
      </c>
      <c r="AH332" s="177">
        <f t="shared" si="77"/>
        <v>11</v>
      </c>
      <c r="AI332" s="177">
        <f t="shared" si="78"/>
        <v>11</v>
      </c>
    </row>
    <row r="333" spans="15:35" x14ac:dyDescent="0.25">
      <c r="O333" s="180">
        <f t="shared" si="79"/>
        <v>45804</v>
      </c>
      <c r="P333" s="181">
        <f t="shared" si="72"/>
        <v>3</v>
      </c>
      <c r="Q333" s="26">
        <f t="shared" si="70"/>
        <v>1</v>
      </c>
      <c r="R333" s="26">
        <f t="shared" si="70"/>
        <v>1</v>
      </c>
      <c r="S333" s="26">
        <f t="shared" si="70"/>
        <v>1</v>
      </c>
      <c r="T333" s="26">
        <f t="shared" si="70"/>
        <v>1</v>
      </c>
      <c r="U333" s="26">
        <f t="shared" si="70"/>
        <v>1</v>
      </c>
      <c r="V333" s="180">
        <f t="shared" si="73"/>
        <v>45804</v>
      </c>
      <c r="W333" s="181">
        <f t="shared" si="71"/>
        <v>3</v>
      </c>
      <c r="AC333" t="s">
        <v>13</v>
      </c>
      <c r="AD333" s="180">
        <f t="shared" si="80"/>
        <v>45804</v>
      </c>
      <c r="AE333" s="177">
        <f t="shared" si="74"/>
        <v>18</v>
      </c>
      <c r="AF333" s="177">
        <f t="shared" si="75"/>
        <v>18</v>
      </c>
      <c r="AG333" s="177">
        <f t="shared" si="76"/>
        <v>10</v>
      </c>
      <c r="AH333" s="177">
        <f t="shared" si="77"/>
        <v>10</v>
      </c>
      <c r="AI333" s="177">
        <f t="shared" si="78"/>
        <v>10</v>
      </c>
    </row>
    <row r="334" spans="15:35" x14ac:dyDescent="0.25">
      <c r="O334" s="180">
        <f t="shared" si="79"/>
        <v>45805</v>
      </c>
      <c r="P334" s="181">
        <f t="shared" si="72"/>
        <v>4</v>
      </c>
      <c r="Q334" s="26">
        <f t="shared" si="70"/>
        <v>1</v>
      </c>
      <c r="R334" s="26">
        <f t="shared" si="70"/>
        <v>1</v>
      </c>
      <c r="S334" s="26">
        <f t="shared" si="70"/>
        <v>1</v>
      </c>
      <c r="T334" s="26">
        <f t="shared" si="70"/>
        <v>1</v>
      </c>
      <c r="U334" s="26">
        <f t="shared" si="70"/>
        <v>1</v>
      </c>
      <c r="V334" s="180">
        <f t="shared" si="73"/>
        <v>45805</v>
      </c>
      <c r="W334" s="181">
        <f t="shared" si="71"/>
        <v>4</v>
      </c>
      <c r="AC334" t="s">
        <v>410</v>
      </c>
      <c r="AD334" s="180">
        <f t="shared" si="80"/>
        <v>45805</v>
      </c>
      <c r="AE334" s="177">
        <f t="shared" si="74"/>
        <v>17</v>
      </c>
      <c r="AF334" s="177">
        <f t="shared" si="75"/>
        <v>17</v>
      </c>
      <c r="AG334" s="177">
        <f t="shared" si="76"/>
        <v>9</v>
      </c>
      <c r="AH334" s="177">
        <f t="shared" si="77"/>
        <v>9</v>
      </c>
      <c r="AI334" s="177">
        <f t="shared" si="78"/>
        <v>9</v>
      </c>
    </row>
    <row r="335" spans="15:35" x14ac:dyDescent="0.25">
      <c r="O335" s="180">
        <f t="shared" si="79"/>
        <v>45806</v>
      </c>
      <c r="P335" s="181">
        <f t="shared" si="72"/>
        <v>5</v>
      </c>
      <c r="Q335" s="26">
        <f t="shared" si="70"/>
        <v>1</v>
      </c>
      <c r="R335" s="26">
        <f t="shared" si="70"/>
        <v>1</v>
      </c>
      <c r="S335" s="26">
        <f t="shared" si="70"/>
        <v>1</v>
      </c>
      <c r="T335" s="26">
        <f t="shared" si="70"/>
        <v>1</v>
      </c>
      <c r="U335" s="26">
        <f t="shared" si="70"/>
        <v>1</v>
      </c>
      <c r="V335" s="180">
        <f t="shared" si="73"/>
        <v>45806</v>
      </c>
      <c r="W335" s="181">
        <f t="shared" si="71"/>
        <v>5</v>
      </c>
      <c r="AC335" t="s">
        <v>13</v>
      </c>
      <c r="AD335" s="180">
        <f t="shared" si="80"/>
        <v>45806</v>
      </c>
      <c r="AE335" s="177">
        <f t="shared" si="74"/>
        <v>16</v>
      </c>
      <c r="AF335" s="177">
        <f t="shared" si="75"/>
        <v>16</v>
      </c>
      <c r="AG335" s="177">
        <f t="shared" si="76"/>
        <v>8</v>
      </c>
      <c r="AH335" s="177">
        <f t="shared" si="77"/>
        <v>8</v>
      </c>
      <c r="AI335" s="177">
        <f t="shared" si="78"/>
        <v>8</v>
      </c>
    </row>
    <row r="336" spans="15:35" x14ac:dyDescent="0.25">
      <c r="O336" s="180">
        <f t="shared" si="79"/>
        <v>45807</v>
      </c>
      <c r="P336" s="181">
        <f t="shared" si="72"/>
        <v>6</v>
      </c>
      <c r="Q336" s="26">
        <f t="shared" si="70"/>
        <v>1</v>
      </c>
      <c r="R336" s="26">
        <f t="shared" si="70"/>
        <v>1</v>
      </c>
      <c r="S336" s="26">
        <f t="shared" si="70"/>
        <v>1</v>
      </c>
      <c r="T336" s="26">
        <f t="shared" si="70"/>
        <v>1</v>
      </c>
      <c r="U336" s="26">
        <f t="shared" si="70"/>
        <v>1</v>
      </c>
      <c r="V336" s="180">
        <f t="shared" si="73"/>
        <v>45807</v>
      </c>
      <c r="W336" s="181">
        <f t="shared" si="71"/>
        <v>6</v>
      </c>
      <c r="AC336" t="s">
        <v>410</v>
      </c>
      <c r="AD336" s="180">
        <f t="shared" si="80"/>
        <v>45807</v>
      </c>
      <c r="AE336" s="177">
        <f t="shared" si="74"/>
        <v>15</v>
      </c>
      <c r="AF336" s="177">
        <f t="shared" si="75"/>
        <v>15</v>
      </c>
      <c r="AG336" s="177">
        <f t="shared" si="76"/>
        <v>7</v>
      </c>
      <c r="AH336" s="177">
        <f t="shared" si="77"/>
        <v>7</v>
      </c>
      <c r="AI336" s="177">
        <f t="shared" si="78"/>
        <v>7</v>
      </c>
    </row>
    <row r="337" spans="15:35" x14ac:dyDescent="0.25">
      <c r="O337" s="180">
        <f t="shared" si="79"/>
        <v>45808</v>
      </c>
      <c r="P337" s="181">
        <f t="shared" si="72"/>
        <v>7</v>
      </c>
      <c r="Q337" s="26" t="str">
        <f t="shared" si="70"/>
        <v/>
      </c>
      <c r="R337" s="26" t="str">
        <f t="shared" si="70"/>
        <v/>
      </c>
      <c r="S337" s="26" t="str">
        <f t="shared" si="70"/>
        <v/>
      </c>
      <c r="T337" s="26" t="str">
        <f t="shared" si="70"/>
        <v/>
      </c>
      <c r="U337" s="26" t="str">
        <f t="shared" ref="U337:U354" si="81">IF(OR($P337=2,$P337=3,$P337=4,$P337=5,$P337=6),1,"")</f>
        <v/>
      </c>
      <c r="V337" s="180">
        <f t="shared" si="73"/>
        <v>45808</v>
      </c>
      <c r="W337" s="181">
        <f t="shared" si="71"/>
        <v>7</v>
      </c>
      <c r="AD337" s="180">
        <f t="shared" si="80"/>
        <v>45808</v>
      </c>
      <c r="AE337" s="177">
        <f t="shared" si="74"/>
        <v>15</v>
      </c>
      <c r="AF337" s="177">
        <f t="shared" si="75"/>
        <v>15</v>
      </c>
      <c r="AG337" s="177">
        <f t="shared" si="76"/>
        <v>7</v>
      </c>
      <c r="AH337" s="177">
        <f t="shared" si="77"/>
        <v>7</v>
      </c>
      <c r="AI337" s="177">
        <f t="shared" si="78"/>
        <v>7</v>
      </c>
    </row>
    <row r="338" spans="15:35" x14ac:dyDescent="0.25">
      <c r="O338" s="180">
        <f t="shared" si="79"/>
        <v>45809</v>
      </c>
      <c r="P338" s="181">
        <f t="shared" si="72"/>
        <v>1</v>
      </c>
      <c r="Q338" s="26" t="str">
        <f t="shared" si="70"/>
        <v/>
      </c>
      <c r="R338" s="26" t="str">
        <f t="shared" si="70"/>
        <v/>
      </c>
      <c r="S338" s="26" t="str">
        <f t="shared" si="70"/>
        <v/>
      </c>
      <c r="T338" s="26" t="str">
        <f t="shared" si="70"/>
        <v/>
      </c>
      <c r="U338" s="26" t="str">
        <f t="shared" si="81"/>
        <v/>
      </c>
      <c r="V338" s="180">
        <f t="shared" si="73"/>
        <v>45809</v>
      </c>
      <c r="W338" s="181">
        <f t="shared" si="71"/>
        <v>1</v>
      </c>
      <c r="AD338" s="180">
        <f t="shared" si="80"/>
        <v>45809</v>
      </c>
      <c r="AE338" s="177">
        <f t="shared" si="74"/>
        <v>15</v>
      </c>
      <c r="AF338" s="177">
        <f t="shared" si="75"/>
        <v>15</v>
      </c>
      <c r="AG338" s="177">
        <f t="shared" si="76"/>
        <v>7</v>
      </c>
      <c r="AH338" s="177">
        <f t="shared" si="77"/>
        <v>7</v>
      </c>
      <c r="AI338" s="177">
        <f t="shared" si="78"/>
        <v>7</v>
      </c>
    </row>
    <row r="339" spans="15:35" x14ac:dyDescent="0.25">
      <c r="O339" s="180">
        <f t="shared" si="79"/>
        <v>45810</v>
      </c>
      <c r="P339" s="181">
        <f t="shared" si="72"/>
        <v>2</v>
      </c>
      <c r="Q339" s="26">
        <f t="shared" si="70"/>
        <v>1</v>
      </c>
      <c r="R339" s="26">
        <f t="shared" si="70"/>
        <v>1</v>
      </c>
      <c r="S339" s="26">
        <f t="shared" si="70"/>
        <v>1</v>
      </c>
      <c r="T339" s="26">
        <f t="shared" si="70"/>
        <v>1</v>
      </c>
      <c r="U339" s="26">
        <f t="shared" si="81"/>
        <v>1</v>
      </c>
      <c r="V339" s="180">
        <f t="shared" si="73"/>
        <v>45810</v>
      </c>
      <c r="W339" s="181">
        <f t="shared" si="71"/>
        <v>2</v>
      </c>
      <c r="AC339" t="s">
        <v>13</v>
      </c>
      <c r="AD339" s="180">
        <f t="shared" si="80"/>
        <v>45810</v>
      </c>
      <c r="AE339" s="177">
        <f t="shared" si="74"/>
        <v>14</v>
      </c>
      <c r="AF339" s="177">
        <f t="shared" si="75"/>
        <v>14</v>
      </c>
      <c r="AG339" s="177">
        <f t="shared" si="76"/>
        <v>6</v>
      </c>
      <c r="AH339" s="177">
        <f t="shared" si="77"/>
        <v>6</v>
      </c>
      <c r="AI339" s="177">
        <f t="shared" si="78"/>
        <v>6</v>
      </c>
    </row>
    <row r="340" spans="15:35" x14ac:dyDescent="0.25">
      <c r="O340" s="180">
        <f t="shared" si="79"/>
        <v>45811</v>
      </c>
      <c r="P340" s="181">
        <f t="shared" si="72"/>
        <v>3</v>
      </c>
      <c r="Q340" s="26">
        <f t="shared" si="70"/>
        <v>1</v>
      </c>
      <c r="R340" s="26">
        <f t="shared" si="70"/>
        <v>1</v>
      </c>
      <c r="S340" s="26">
        <f t="shared" si="70"/>
        <v>1</v>
      </c>
      <c r="T340" s="26">
        <f t="shared" si="70"/>
        <v>1</v>
      </c>
      <c r="U340" s="26">
        <f t="shared" si="81"/>
        <v>1</v>
      </c>
      <c r="V340" s="180">
        <f t="shared" si="73"/>
        <v>45811</v>
      </c>
      <c r="W340" s="181">
        <f t="shared" si="71"/>
        <v>3</v>
      </c>
      <c r="AC340" t="s">
        <v>410</v>
      </c>
      <c r="AD340" s="180">
        <f t="shared" si="80"/>
        <v>45811</v>
      </c>
      <c r="AE340" s="177">
        <f t="shared" si="74"/>
        <v>13</v>
      </c>
      <c r="AF340" s="177">
        <f t="shared" si="75"/>
        <v>13</v>
      </c>
      <c r="AG340" s="177">
        <f t="shared" si="76"/>
        <v>5</v>
      </c>
      <c r="AH340" s="177">
        <f t="shared" si="77"/>
        <v>5</v>
      </c>
      <c r="AI340" s="177">
        <f t="shared" si="78"/>
        <v>5</v>
      </c>
    </row>
    <row r="341" spans="15:35" x14ac:dyDescent="0.25">
      <c r="O341" s="180">
        <f t="shared" si="79"/>
        <v>45812</v>
      </c>
      <c r="P341" s="181">
        <f t="shared" si="72"/>
        <v>4</v>
      </c>
      <c r="Q341" s="26">
        <f t="shared" si="70"/>
        <v>1</v>
      </c>
      <c r="R341" s="26">
        <f t="shared" si="70"/>
        <v>1</v>
      </c>
      <c r="S341" s="26">
        <f t="shared" si="70"/>
        <v>1</v>
      </c>
      <c r="T341" s="26">
        <f t="shared" si="70"/>
        <v>1</v>
      </c>
      <c r="U341" s="26">
        <f t="shared" si="81"/>
        <v>1</v>
      </c>
      <c r="V341" s="180">
        <f t="shared" si="73"/>
        <v>45812</v>
      </c>
      <c r="W341" s="181">
        <f t="shared" si="71"/>
        <v>4</v>
      </c>
      <c r="AC341" t="s">
        <v>13</v>
      </c>
      <c r="AD341" s="180">
        <f t="shared" si="80"/>
        <v>45812</v>
      </c>
      <c r="AE341" s="177">
        <f t="shared" si="74"/>
        <v>12</v>
      </c>
      <c r="AF341" s="177">
        <f t="shared" si="75"/>
        <v>12</v>
      </c>
      <c r="AG341" s="177">
        <f t="shared" si="76"/>
        <v>4</v>
      </c>
      <c r="AH341" s="177">
        <f t="shared" si="77"/>
        <v>4</v>
      </c>
      <c r="AI341" s="177">
        <f t="shared" si="78"/>
        <v>4</v>
      </c>
    </row>
    <row r="342" spans="15:35" x14ac:dyDescent="0.25">
      <c r="O342" s="180">
        <f t="shared" si="79"/>
        <v>45813</v>
      </c>
      <c r="P342" s="181">
        <f t="shared" si="72"/>
        <v>5</v>
      </c>
      <c r="Q342" s="26">
        <f t="shared" si="70"/>
        <v>1</v>
      </c>
      <c r="R342" s="26">
        <f t="shared" si="70"/>
        <v>1</v>
      </c>
      <c r="S342" s="26">
        <f t="shared" si="70"/>
        <v>1</v>
      </c>
      <c r="T342" s="26">
        <f t="shared" si="70"/>
        <v>1</v>
      </c>
      <c r="U342" s="26">
        <f t="shared" si="81"/>
        <v>1</v>
      </c>
      <c r="V342" s="180">
        <f t="shared" si="73"/>
        <v>45813</v>
      </c>
      <c r="W342" s="181">
        <f t="shared" si="71"/>
        <v>5</v>
      </c>
      <c r="AC342" t="s">
        <v>410</v>
      </c>
      <c r="AD342" s="180">
        <f t="shared" si="80"/>
        <v>45813</v>
      </c>
      <c r="AE342" s="177">
        <f t="shared" si="74"/>
        <v>11</v>
      </c>
      <c r="AF342" s="177">
        <f t="shared" si="75"/>
        <v>11</v>
      </c>
      <c r="AG342" s="177">
        <f t="shared" si="76"/>
        <v>3</v>
      </c>
      <c r="AH342" s="177">
        <f t="shared" si="77"/>
        <v>3</v>
      </c>
      <c r="AI342" s="177">
        <f t="shared" si="78"/>
        <v>3</v>
      </c>
    </row>
    <row r="343" spans="15:35" x14ac:dyDescent="0.25">
      <c r="O343" s="180">
        <f t="shared" si="79"/>
        <v>45814</v>
      </c>
      <c r="P343" s="181">
        <f t="shared" si="72"/>
        <v>6</v>
      </c>
      <c r="Q343" s="26">
        <f t="shared" si="70"/>
        <v>1</v>
      </c>
      <c r="R343" s="26">
        <f t="shared" si="70"/>
        <v>1</v>
      </c>
      <c r="S343" s="26">
        <f t="shared" si="70"/>
        <v>1</v>
      </c>
      <c r="T343" s="26">
        <f t="shared" si="70"/>
        <v>1</v>
      </c>
      <c r="U343" s="26">
        <f t="shared" si="81"/>
        <v>1</v>
      </c>
      <c r="V343" s="180">
        <f t="shared" si="73"/>
        <v>45814</v>
      </c>
      <c r="W343" s="181">
        <f t="shared" si="71"/>
        <v>6</v>
      </c>
      <c r="AC343" t="s">
        <v>13</v>
      </c>
      <c r="AD343" s="180">
        <f t="shared" si="80"/>
        <v>45814</v>
      </c>
      <c r="AE343" s="177">
        <f t="shared" si="74"/>
        <v>10</v>
      </c>
      <c r="AF343" s="177">
        <f t="shared" si="75"/>
        <v>10</v>
      </c>
      <c r="AG343" s="177">
        <f t="shared" si="76"/>
        <v>2</v>
      </c>
      <c r="AH343" s="177">
        <f t="shared" si="77"/>
        <v>2</v>
      </c>
      <c r="AI343" s="177">
        <f t="shared" si="78"/>
        <v>2</v>
      </c>
    </row>
    <row r="344" spans="15:35" x14ac:dyDescent="0.25">
      <c r="O344" s="180">
        <f t="shared" si="79"/>
        <v>45815</v>
      </c>
      <c r="P344" s="181">
        <f t="shared" si="72"/>
        <v>7</v>
      </c>
      <c r="Q344" s="26" t="str">
        <f t="shared" si="70"/>
        <v/>
      </c>
      <c r="R344" s="26" t="str">
        <f t="shared" si="70"/>
        <v/>
      </c>
      <c r="S344" s="26" t="str">
        <f t="shared" si="70"/>
        <v/>
      </c>
      <c r="T344" s="26" t="str">
        <f t="shared" si="70"/>
        <v/>
      </c>
      <c r="U344" s="26" t="str">
        <f t="shared" si="81"/>
        <v/>
      </c>
      <c r="V344" s="180">
        <f t="shared" si="73"/>
        <v>45815</v>
      </c>
      <c r="W344" s="181">
        <f t="shared" si="71"/>
        <v>7</v>
      </c>
      <c r="AD344" s="180">
        <f t="shared" si="80"/>
        <v>45815</v>
      </c>
      <c r="AE344" s="177">
        <f t="shared" si="74"/>
        <v>10</v>
      </c>
      <c r="AF344" s="177">
        <f t="shared" si="75"/>
        <v>10</v>
      </c>
      <c r="AG344" s="177">
        <f t="shared" si="76"/>
        <v>2</v>
      </c>
      <c r="AH344" s="177">
        <f t="shared" si="77"/>
        <v>2</v>
      </c>
      <c r="AI344" s="177">
        <f t="shared" si="78"/>
        <v>2</v>
      </c>
    </row>
    <row r="345" spans="15:35" x14ac:dyDescent="0.25">
      <c r="O345" s="180">
        <f t="shared" si="79"/>
        <v>45816</v>
      </c>
      <c r="P345" s="181">
        <f t="shared" si="72"/>
        <v>1</v>
      </c>
      <c r="Q345" s="26" t="str">
        <f t="shared" si="70"/>
        <v/>
      </c>
      <c r="R345" s="26" t="str">
        <f t="shared" si="70"/>
        <v/>
      </c>
      <c r="S345" s="26" t="str">
        <f t="shared" si="70"/>
        <v/>
      </c>
      <c r="T345" s="26" t="str">
        <f t="shared" si="70"/>
        <v/>
      </c>
      <c r="U345" s="26" t="str">
        <f t="shared" si="81"/>
        <v/>
      </c>
      <c r="V345" s="180">
        <f t="shared" si="73"/>
        <v>45816</v>
      </c>
      <c r="W345" s="181">
        <f t="shared" si="71"/>
        <v>1</v>
      </c>
      <c r="AD345" s="180">
        <f t="shared" si="80"/>
        <v>45816</v>
      </c>
      <c r="AE345" s="177">
        <f t="shared" si="74"/>
        <v>10</v>
      </c>
      <c r="AF345" s="177">
        <f t="shared" si="75"/>
        <v>10</v>
      </c>
      <c r="AG345" s="177">
        <f t="shared" si="76"/>
        <v>2</v>
      </c>
      <c r="AH345" s="177">
        <f t="shared" si="77"/>
        <v>2</v>
      </c>
      <c r="AI345" s="177">
        <f t="shared" si="78"/>
        <v>2</v>
      </c>
    </row>
    <row r="346" spans="15:35" x14ac:dyDescent="0.25">
      <c r="O346" s="180">
        <f t="shared" si="79"/>
        <v>45817</v>
      </c>
      <c r="P346" s="181">
        <f t="shared" si="72"/>
        <v>2</v>
      </c>
      <c r="Q346" s="26">
        <f t="shared" si="70"/>
        <v>1</v>
      </c>
      <c r="R346" s="26">
        <f t="shared" si="70"/>
        <v>1</v>
      </c>
      <c r="S346" s="26">
        <f t="shared" si="70"/>
        <v>1</v>
      </c>
      <c r="T346" s="26">
        <f t="shared" si="70"/>
        <v>1</v>
      </c>
      <c r="U346" s="26">
        <f t="shared" si="81"/>
        <v>1</v>
      </c>
      <c r="V346" s="180">
        <f t="shared" si="73"/>
        <v>45817</v>
      </c>
      <c r="W346" s="181">
        <f t="shared" si="71"/>
        <v>2</v>
      </c>
      <c r="AD346" s="180">
        <f t="shared" si="80"/>
        <v>45817</v>
      </c>
      <c r="AE346" s="177">
        <f t="shared" si="74"/>
        <v>9</v>
      </c>
      <c r="AF346" s="177">
        <f t="shared" si="75"/>
        <v>9</v>
      </c>
      <c r="AG346" s="177">
        <f t="shared" si="76"/>
        <v>1</v>
      </c>
      <c r="AH346" s="177">
        <f t="shared" si="77"/>
        <v>1</v>
      </c>
      <c r="AI346" s="177">
        <f t="shared" si="78"/>
        <v>1</v>
      </c>
    </row>
    <row r="347" spans="15:35" x14ac:dyDescent="0.25">
      <c r="O347" s="180">
        <f t="shared" si="79"/>
        <v>45818</v>
      </c>
      <c r="P347" s="181">
        <f t="shared" si="72"/>
        <v>3</v>
      </c>
      <c r="Q347" s="26">
        <f t="shared" si="70"/>
        <v>1</v>
      </c>
      <c r="R347" s="26">
        <f t="shared" si="70"/>
        <v>1</v>
      </c>
      <c r="S347" s="26" t="s">
        <v>82</v>
      </c>
      <c r="T347" s="26" t="s">
        <v>82</v>
      </c>
      <c r="U347" s="26" t="s">
        <v>82</v>
      </c>
      <c r="V347" s="180">
        <f t="shared" si="73"/>
        <v>45818</v>
      </c>
      <c r="W347" s="181">
        <f t="shared" si="71"/>
        <v>3</v>
      </c>
      <c r="AD347" s="180">
        <f t="shared" si="80"/>
        <v>45818</v>
      </c>
      <c r="AE347" s="177">
        <f t="shared" si="74"/>
        <v>8</v>
      </c>
      <c r="AF347" s="177">
        <f t="shared" si="75"/>
        <v>8</v>
      </c>
      <c r="AG347" s="177">
        <f t="shared" si="76"/>
        <v>1</v>
      </c>
      <c r="AH347" s="177">
        <f t="shared" si="77"/>
        <v>1</v>
      </c>
      <c r="AI347" s="177">
        <f t="shared" si="78"/>
        <v>1</v>
      </c>
    </row>
    <row r="348" spans="15:35" x14ac:dyDescent="0.25">
      <c r="O348" s="180">
        <f t="shared" si="79"/>
        <v>45819</v>
      </c>
      <c r="P348" s="181">
        <f t="shared" si="72"/>
        <v>4</v>
      </c>
      <c r="Q348" s="26">
        <f t="shared" si="70"/>
        <v>1</v>
      </c>
      <c r="R348" s="26">
        <f t="shared" si="70"/>
        <v>1</v>
      </c>
      <c r="S348" s="26" t="s">
        <v>82</v>
      </c>
      <c r="T348" s="26" t="s">
        <v>82</v>
      </c>
      <c r="U348" s="26" t="s">
        <v>82</v>
      </c>
      <c r="V348" s="180">
        <f t="shared" si="73"/>
        <v>45819</v>
      </c>
      <c r="W348" s="181">
        <f t="shared" si="71"/>
        <v>4</v>
      </c>
      <c r="AD348" s="180">
        <f t="shared" si="80"/>
        <v>45819</v>
      </c>
      <c r="AE348" s="177">
        <f t="shared" si="74"/>
        <v>7</v>
      </c>
      <c r="AF348" s="177">
        <f t="shared" si="75"/>
        <v>7</v>
      </c>
      <c r="AG348" s="177">
        <f t="shared" si="76"/>
        <v>1</v>
      </c>
      <c r="AH348" s="177">
        <f t="shared" si="77"/>
        <v>1</v>
      </c>
      <c r="AI348" s="177">
        <f t="shared" si="78"/>
        <v>1</v>
      </c>
    </row>
    <row r="349" spans="15:35" x14ac:dyDescent="0.25">
      <c r="O349" s="180">
        <f t="shared" si="79"/>
        <v>45820</v>
      </c>
      <c r="P349" s="181">
        <f t="shared" si="72"/>
        <v>5</v>
      </c>
      <c r="Q349" s="26">
        <f t="shared" si="70"/>
        <v>1</v>
      </c>
      <c r="R349" s="26">
        <f t="shared" si="70"/>
        <v>1</v>
      </c>
      <c r="S349" s="26" t="s">
        <v>82</v>
      </c>
      <c r="T349" s="26" t="s">
        <v>82</v>
      </c>
      <c r="U349" s="26" t="s">
        <v>82</v>
      </c>
      <c r="V349" s="180">
        <f t="shared" si="73"/>
        <v>45820</v>
      </c>
      <c r="W349" s="181">
        <f t="shared" si="71"/>
        <v>5</v>
      </c>
      <c r="AD349" s="180">
        <f t="shared" si="80"/>
        <v>45820</v>
      </c>
      <c r="AE349" s="177">
        <f t="shared" si="74"/>
        <v>6</v>
      </c>
      <c r="AF349" s="177">
        <f t="shared" si="75"/>
        <v>6</v>
      </c>
      <c r="AG349" s="177">
        <f t="shared" si="76"/>
        <v>1</v>
      </c>
      <c r="AH349" s="177">
        <f t="shared" si="77"/>
        <v>1</v>
      </c>
      <c r="AI349" s="177">
        <f t="shared" si="78"/>
        <v>1</v>
      </c>
    </row>
    <row r="350" spans="15:35" x14ac:dyDescent="0.25">
      <c r="O350" s="180">
        <f t="shared" si="79"/>
        <v>45821</v>
      </c>
      <c r="P350" s="181">
        <f t="shared" si="72"/>
        <v>6</v>
      </c>
      <c r="Q350" s="26">
        <f t="shared" si="70"/>
        <v>1</v>
      </c>
      <c r="R350" s="26">
        <f t="shared" si="70"/>
        <v>1</v>
      </c>
      <c r="S350" s="26" t="s">
        <v>82</v>
      </c>
      <c r="T350" s="26" t="s">
        <v>82</v>
      </c>
      <c r="U350" s="26" t="s">
        <v>82</v>
      </c>
      <c r="V350" s="180">
        <f t="shared" si="73"/>
        <v>45821</v>
      </c>
      <c r="W350" s="181">
        <f t="shared" si="71"/>
        <v>6</v>
      </c>
      <c r="AD350" s="180">
        <f t="shared" si="80"/>
        <v>45821</v>
      </c>
      <c r="AE350" s="177">
        <f t="shared" si="74"/>
        <v>5</v>
      </c>
      <c r="AF350" s="177">
        <f t="shared" si="75"/>
        <v>5</v>
      </c>
      <c r="AG350" s="177">
        <f t="shared" si="76"/>
        <v>1</v>
      </c>
      <c r="AH350" s="177">
        <f t="shared" si="77"/>
        <v>1</v>
      </c>
      <c r="AI350" s="177">
        <f t="shared" si="78"/>
        <v>1</v>
      </c>
    </row>
    <row r="351" spans="15:35" x14ac:dyDescent="0.25">
      <c r="O351" s="180">
        <f t="shared" si="79"/>
        <v>45822</v>
      </c>
      <c r="P351" s="181">
        <f t="shared" si="72"/>
        <v>7</v>
      </c>
      <c r="Q351" s="26" t="str">
        <f t="shared" si="70"/>
        <v/>
      </c>
      <c r="R351" s="26" t="str">
        <f t="shared" si="70"/>
        <v/>
      </c>
      <c r="S351" s="26" t="s">
        <v>82</v>
      </c>
      <c r="T351" s="26" t="s">
        <v>82</v>
      </c>
      <c r="U351" s="26" t="s">
        <v>82</v>
      </c>
      <c r="V351" s="180">
        <f t="shared" si="73"/>
        <v>45822</v>
      </c>
      <c r="W351" s="181">
        <f t="shared" si="71"/>
        <v>7</v>
      </c>
      <c r="AD351" s="180">
        <f t="shared" si="80"/>
        <v>45822</v>
      </c>
      <c r="AE351" s="177">
        <f t="shared" si="74"/>
        <v>5</v>
      </c>
      <c r="AF351" s="177">
        <f t="shared" si="75"/>
        <v>5</v>
      </c>
      <c r="AG351" s="177">
        <f t="shared" si="76"/>
        <v>1</v>
      </c>
      <c r="AH351" s="177">
        <f t="shared" si="77"/>
        <v>1</v>
      </c>
      <c r="AI351" s="177">
        <f t="shared" si="78"/>
        <v>1</v>
      </c>
    </row>
    <row r="352" spans="15:35" x14ac:dyDescent="0.25">
      <c r="O352" s="180">
        <f t="shared" si="79"/>
        <v>45823</v>
      </c>
      <c r="P352" s="181">
        <f t="shared" si="72"/>
        <v>1</v>
      </c>
      <c r="Q352" s="26" t="str">
        <f t="shared" si="70"/>
        <v/>
      </c>
      <c r="R352" s="26" t="str">
        <f t="shared" si="70"/>
        <v/>
      </c>
      <c r="S352" s="26" t="s">
        <v>82</v>
      </c>
      <c r="T352" s="26" t="s">
        <v>82</v>
      </c>
      <c r="U352" s="26" t="s">
        <v>82</v>
      </c>
      <c r="V352" s="180">
        <f t="shared" si="73"/>
        <v>45823</v>
      </c>
      <c r="W352" s="181">
        <f t="shared" si="71"/>
        <v>1</v>
      </c>
      <c r="AD352" s="180">
        <f t="shared" si="80"/>
        <v>45823</v>
      </c>
      <c r="AE352" s="177">
        <f t="shared" si="74"/>
        <v>5</v>
      </c>
      <c r="AF352" s="177">
        <f t="shared" si="75"/>
        <v>5</v>
      </c>
      <c r="AG352" s="177">
        <f t="shared" si="76"/>
        <v>1</v>
      </c>
      <c r="AH352" s="177">
        <f t="shared" si="77"/>
        <v>1</v>
      </c>
      <c r="AI352" s="177">
        <f t="shared" si="78"/>
        <v>1</v>
      </c>
    </row>
    <row r="353" spans="15:35" x14ac:dyDescent="0.25">
      <c r="O353" s="180">
        <f t="shared" si="79"/>
        <v>45824</v>
      </c>
      <c r="P353" s="181">
        <f t="shared" si="72"/>
        <v>2</v>
      </c>
      <c r="Q353" s="26">
        <f t="shared" si="70"/>
        <v>1</v>
      </c>
      <c r="R353" s="26">
        <f t="shared" si="70"/>
        <v>1</v>
      </c>
      <c r="S353" s="26" t="s">
        <v>82</v>
      </c>
      <c r="T353" s="26" t="s">
        <v>82</v>
      </c>
      <c r="U353" s="26" t="s">
        <v>82</v>
      </c>
      <c r="V353" s="180">
        <f t="shared" si="73"/>
        <v>45824</v>
      </c>
      <c r="W353" s="181">
        <f t="shared" si="71"/>
        <v>2</v>
      </c>
      <c r="AD353" s="180">
        <f t="shared" si="80"/>
        <v>45824</v>
      </c>
      <c r="AE353" s="177">
        <f t="shared" si="74"/>
        <v>4</v>
      </c>
      <c r="AF353" s="177">
        <f t="shared" si="75"/>
        <v>4</v>
      </c>
      <c r="AG353" s="177">
        <f t="shared" si="76"/>
        <v>1</v>
      </c>
      <c r="AH353" s="177">
        <f t="shared" si="77"/>
        <v>1</v>
      </c>
      <c r="AI353" s="177">
        <f t="shared" si="78"/>
        <v>1</v>
      </c>
    </row>
    <row r="354" spans="15:35" x14ac:dyDescent="0.25">
      <c r="O354" s="180">
        <f t="shared" si="79"/>
        <v>45825</v>
      </c>
      <c r="P354" s="181">
        <f t="shared" si="72"/>
        <v>3</v>
      </c>
      <c r="Q354" s="26">
        <f t="shared" si="70"/>
        <v>1</v>
      </c>
      <c r="R354" s="26">
        <f t="shared" si="70"/>
        <v>1</v>
      </c>
      <c r="S354" s="26" t="s">
        <v>82</v>
      </c>
      <c r="T354" s="26" t="s">
        <v>82</v>
      </c>
      <c r="U354" s="26" t="s">
        <v>82</v>
      </c>
      <c r="V354" s="180">
        <f t="shared" si="73"/>
        <v>45825</v>
      </c>
      <c r="W354" s="181">
        <f t="shared" si="71"/>
        <v>3</v>
      </c>
      <c r="AD354" s="180">
        <f t="shared" si="80"/>
        <v>45825</v>
      </c>
      <c r="AE354" s="177">
        <f t="shared" si="74"/>
        <v>3</v>
      </c>
      <c r="AF354" s="177">
        <f t="shared" si="75"/>
        <v>3</v>
      </c>
      <c r="AG354" s="177">
        <f t="shared" si="76"/>
        <v>1</v>
      </c>
      <c r="AH354" s="177">
        <f t="shared" si="77"/>
        <v>1</v>
      </c>
      <c r="AI354" s="177">
        <f t="shared" si="78"/>
        <v>1</v>
      </c>
    </row>
    <row r="355" spans="15:35" x14ac:dyDescent="0.25">
      <c r="O355" s="180">
        <f t="shared" si="79"/>
        <v>45826</v>
      </c>
      <c r="P355" s="181">
        <f t="shared" si="72"/>
        <v>4</v>
      </c>
      <c r="Q355" s="26">
        <f t="shared" si="70"/>
        <v>1</v>
      </c>
      <c r="R355" s="26">
        <f t="shared" si="70"/>
        <v>1</v>
      </c>
      <c r="S355" s="26" t="s">
        <v>82</v>
      </c>
      <c r="T355" s="26" t="s">
        <v>82</v>
      </c>
      <c r="U355" s="26" t="s">
        <v>82</v>
      </c>
      <c r="V355" s="180">
        <f t="shared" si="73"/>
        <v>45826</v>
      </c>
      <c r="W355" s="181">
        <f t="shared" si="71"/>
        <v>4</v>
      </c>
      <c r="AD355" s="180">
        <f t="shared" si="80"/>
        <v>45826</v>
      </c>
      <c r="AE355" s="177">
        <f t="shared" si="74"/>
        <v>2</v>
      </c>
      <c r="AF355" s="177">
        <f t="shared" si="75"/>
        <v>2</v>
      </c>
      <c r="AG355" s="177">
        <f t="shared" si="76"/>
        <v>1</v>
      </c>
      <c r="AH355" s="177">
        <f t="shared" si="77"/>
        <v>1</v>
      </c>
      <c r="AI355" s="177">
        <f t="shared" si="78"/>
        <v>1</v>
      </c>
    </row>
    <row r="356" spans="15:35" x14ac:dyDescent="0.25">
      <c r="O356" s="180">
        <f t="shared" si="79"/>
        <v>45827</v>
      </c>
      <c r="P356" s="181">
        <f t="shared" si="72"/>
        <v>5</v>
      </c>
      <c r="Q356" s="26">
        <f t="shared" si="70"/>
        <v>1</v>
      </c>
      <c r="R356" s="26">
        <f t="shared" si="70"/>
        <v>1</v>
      </c>
      <c r="S356" s="26" t="s">
        <v>82</v>
      </c>
      <c r="T356" s="26" t="s">
        <v>82</v>
      </c>
      <c r="U356" s="26" t="s">
        <v>82</v>
      </c>
      <c r="V356" s="180">
        <f t="shared" si="73"/>
        <v>45827</v>
      </c>
      <c r="W356" s="181">
        <f t="shared" si="71"/>
        <v>5</v>
      </c>
      <c r="AD356" s="180">
        <f t="shared" si="80"/>
        <v>45827</v>
      </c>
      <c r="AE356" s="177">
        <f t="shared" si="74"/>
        <v>1</v>
      </c>
      <c r="AF356" s="177">
        <f t="shared" si="75"/>
        <v>1</v>
      </c>
      <c r="AG356" s="177">
        <f t="shared" si="76"/>
        <v>1</v>
      </c>
      <c r="AH356" s="177">
        <f t="shared" si="77"/>
        <v>1</v>
      </c>
      <c r="AI356" s="177">
        <f t="shared" si="78"/>
        <v>1</v>
      </c>
    </row>
    <row r="357" spans="15:35" x14ac:dyDescent="0.25">
      <c r="O357" s="180">
        <f t="shared" si="79"/>
        <v>45828</v>
      </c>
      <c r="P357" s="181">
        <f t="shared" si="72"/>
        <v>6</v>
      </c>
      <c r="Q357" s="26" t="s">
        <v>82</v>
      </c>
      <c r="R357" s="26" t="s">
        <v>82</v>
      </c>
      <c r="S357" s="26" t="s">
        <v>82</v>
      </c>
      <c r="T357" s="26" t="s">
        <v>82</v>
      </c>
      <c r="U357" s="26" t="s">
        <v>82</v>
      </c>
      <c r="V357" s="180">
        <f t="shared" si="73"/>
        <v>45828</v>
      </c>
      <c r="W357" s="181">
        <f t="shared" si="71"/>
        <v>6</v>
      </c>
      <c r="AD357" s="180">
        <f t="shared" si="80"/>
        <v>45828</v>
      </c>
      <c r="AE357" s="177">
        <f t="shared" si="74"/>
        <v>1</v>
      </c>
      <c r="AF357" s="177">
        <f t="shared" si="75"/>
        <v>1</v>
      </c>
      <c r="AG357" s="177">
        <f t="shared" si="76"/>
        <v>1</v>
      </c>
      <c r="AH357" s="177">
        <f t="shared" si="77"/>
        <v>1</v>
      </c>
      <c r="AI357" s="177">
        <f t="shared" si="78"/>
        <v>1</v>
      </c>
    </row>
    <row r="358" spans="15:35" x14ac:dyDescent="0.25">
      <c r="O358" s="180">
        <f t="shared" si="79"/>
        <v>45829</v>
      </c>
      <c r="P358" s="181">
        <f t="shared" si="72"/>
        <v>7</v>
      </c>
      <c r="Q358" s="26" t="s">
        <v>82</v>
      </c>
      <c r="R358" s="26" t="s">
        <v>82</v>
      </c>
      <c r="S358" s="26" t="s">
        <v>82</v>
      </c>
      <c r="T358" s="26" t="s">
        <v>82</v>
      </c>
      <c r="U358" s="26" t="s">
        <v>82</v>
      </c>
      <c r="V358" s="180">
        <f t="shared" si="73"/>
        <v>45829</v>
      </c>
      <c r="W358" s="181">
        <f t="shared" si="71"/>
        <v>7</v>
      </c>
      <c r="AD358" s="180">
        <f t="shared" si="80"/>
        <v>45829</v>
      </c>
      <c r="AE358" s="177">
        <f t="shared" si="74"/>
        <v>1</v>
      </c>
      <c r="AF358" s="177">
        <f t="shared" si="75"/>
        <v>1</v>
      </c>
      <c r="AG358" s="177">
        <f t="shared" si="76"/>
        <v>1</v>
      </c>
      <c r="AH358" s="177">
        <f t="shared" si="77"/>
        <v>1</v>
      </c>
      <c r="AI358" s="177">
        <f t="shared" si="78"/>
        <v>1</v>
      </c>
    </row>
    <row r="359" spans="15:35" x14ac:dyDescent="0.25">
      <c r="O359" s="180">
        <f t="shared" si="79"/>
        <v>45830</v>
      </c>
      <c r="P359" s="181">
        <f t="shared" si="72"/>
        <v>1</v>
      </c>
      <c r="Q359" s="26" t="s">
        <v>82</v>
      </c>
      <c r="R359" s="26" t="s">
        <v>82</v>
      </c>
      <c r="S359" s="26" t="s">
        <v>82</v>
      </c>
      <c r="T359" s="26" t="s">
        <v>82</v>
      </c>
      <c r="U359" s="26" t="s">
        <v>82</v>
      </c>
      <c r="V359" s="180">
        <f t="shared" si="73"/>
        <v>45830</v>
      </c>
      <c r="W359" s="181">
        <f t="shared" si="71"/>
        <v>1</v>
      </c>
      <c r="AD359" s="180">
        <f t="shared" si="80"/>
        <v>45830</v>
      </c>
      <c r="AE359" s="177">
        <f t="shared" si="74"/>
        <v>1</v>
      </c>
      <c r="AF359" s="177">
        <f t="shared" si="75"/>
        <v>1</v>
      </c>
      <c r="AG359" s="177">
        <f t="shared" si="76"/>
        <v>1</v>
      </c>
      <c r="AH359" s="177">
        <f t="shared" si="77"/>
        <v>1</v>
      </c>
      <c r="AI359" s="177">
        <f t="shared" si="78"/>
        <v>1</v>
      </c>
    </row>
    <row r="360" spans="15:35" x14ac:dyDescent="0.25">
      <c r="O360" s="180">
        <f t="shared" si="79"/>
        <v>45831</v>
      </c>
      <c r="P360" s="181">
        <f t="shared" si="72"/>
        <v>2</v>
      </c>
      <c r="Q360" s="26" t="s">
        <v>82</v>
      </c>
      <c r="R360" s="26" t="s">
        <v>82</v>
      </c>
      <c r="S360" s="26" t="s">
        <v>82</v>
      </c>
      <c r="T360" s="26" t="s">
        <v>82</v>
      </c>
      <c r="U360" s="26" t="s">
        <v>82</v>
      </c>
      <c r="V360" s="180">
        <f t="shared" si="73"/>
        <v>45831</v>
      </c>
      <c r="W360" s="181">
        <f t="shared" si="71"/>
        <v>2</v>
      </c>
      <c r="AD360" s="180">
        <f t="shared" si="80"/>
        <v>45831</v>
      </c>
      <c r="AE360" s="177">
        <f t="shared" si="74"/>
        <v>1</v>
      </c>
      <c r="AF360" s="177">
        <f t="shared" si="75"/>
        <v>1</v>
      </c>
      <c r="AG360" s="177">
        <f t="shared" si="76"/>
        <v>1</v>
      </c>
      <c r="AH360" s="177">
        <f t="shared" si="77"/>
        <v>1</v>
      </c>
      <c r="AI360" s="177">
        <f t="shared" si="78"/>
        <v>1</v>
      </c>
    </row>
    <row r="361" spans="15:35" x14ac:dyDescent="0.25">
      <c r="O361" s="180">
        <f t="shared" si="79"/>
        <v>45832</v>
      </c>
      <c r="P361" s="181">
        <f t="shared" si="72"/>
        <v>3</v>
      </c>
      <c r="Q361" s="26" t="s">
        <v>82</v>
      </c>
      <c r="R361" s="26" t="s">
        <v>82</v>
      </c>
      <c r="S361" s="26" t="s">
        <v>82</v>
      </c>
      <c r="T361" s="26" t="s">
        <v>82</v>
      </c>
      <c r="U361" s="26" t="s">
        <v>82</v>
      </c>
      <c r="V361" s="180">
        <f t="shared" si="73"/>
        <v>45832</v>
      </c>
      <c r="W361" s="181">
        <f t="shared" si="71"/>
        <v>3</v>
      </c>
      <c r="AD361" s="180">
        <f t="shared" si="80"/>
        <v>45832</v>
      </c>
      <c r="AE361" s="177">
        <f t="shared" si="74"/>
        <v>1</v>
      </c>
      <c r="AF361" s="177">
        <f t="shared" si="75"/>
        <v>1</v>
      </c>
      <c r="AG361" s="177">
        <f t="shared" si="76"/>
        <v>1</v>
      </c>
      <c r="AH361" s="177">
        <f t="shared" si="77"/>
        <v>1</v>
      </c>
      <c r="AI361" s="177">
        <f t="shared" si="78"/>
        <v>1</v>
      </c>
    </row>
    <row r="362" spans="15:35" x14ac:dyDescent="0.25">
      <c r="O362" s="180">
        <f t="shared" si="79"/>
        <v>45833</v>
      </c>
      <c r="P362" s="181">
        <f t="shared" si="72"/>
        <v>4</v>
      </c>
      <c r="Q362" s="26" t="s">
        <v>82</v>
      </c>
      <c r="R362" s="26" t="s">
        <v>82</v>
      </c>
      <c r="S362" s="26" t="s">
        <v>82</v>
      </c>
      <c r="T362" s="26" t="s">
        <v>82</v>
      </c>
      <c r="U362" s="26" t="s">
        <v>82</v>
      </c>
      <c r="V362" s="180">
        <f t="shared" si="73"/>
        <v>45833</v>
      </c>
      <c r="W362" s="181">
        <f t="shared" si="71"/>
        <v>4</v>
      </c>
      <c r="AD362" s="180">
        <f t="shared" si="80"/>
        <v>45833</v>
      </c>
      <c r="AE362" s="177">
        <f t="shared" si="74"/>
        <v>1</v>
      </c>
      <c r="AF362" s="177">
        <f t="shared" si="75"/>
        <v>1</v>
      </c>
      <c r="AG362" s="177">
        <f t="shared" si="76"/>
        <v>1</v>
      </c>
      <c r="AH362" s="177">
        <f t="shared" si="77"/>
        <v>1</v>
      </c>
      <c r="AI362" s="177">
        <f t="shared" si="78"/>
        <v>1</v>
      </c>
    </row>
    <row r="363" spans="15:35" x14ac:dyDescent="0.25">
      <c r="O363" s="180">
        <f t="shared" si="79"/>
        <v>45834</v>
      </c>
      <c r="P363" s="181">
        <f t="shared" si="72"/>
        <v>5</v>
      </c>
      <c r="Q363" s="26" t="s">
        <v>82</v>
      </c>
      <c r="R363" s="26" t="s">
        <v>82</v>
      </c>
      <c r="S363" s="26" t="s">
        <v>82</v>
      </c>
      <c r="T363" s="26" t="s">
        <v>82</v>
      </c>
      <c r="U363" s="26" t="s">
        <v>82</v>
      </c>
      <c r="V363" s="180">
        <f t="shared" si="73"/>
        <v>45834</v>
      </c>
      <c r="W363" s="181">
        <f t="shared" si="71"/>
        <v>5</v>
      </c>
      <c r="AD363" s="180">
        <f t="shared" si="80"/>
        <v>45834</v>
      </c>
      <c r="AE363" s="177">
        <f t="shared" si="74"/>
        <v>1</v>
      </c>
      <c r="AF363" s="177">
        <f t="shared" si="75"/>
        <v>1</v>
      </c>
      <c r="AG363" s="177">
        <f t="shared" si="76"/>
        <v>1</v>
      </c>
      <c r="AH363" s="177">
        <f t="shared" si="77"/>
        <v>1</v>
      </c>
      <c r="AI363" s="177">
        <f t="shared" si="78"/>
        <v>1</v>
      </c>
    </row>
    <row r="364" spans="15:35" x14ac:dyDescent="0.25">
      <c r="O364" s="180">
        <f t="shared" si="79"/>
        <v>45835</v>
      </c>
      <c r="P364" s="181">
        <f t="shared" si="72"/>
        <v>6</v>
      </c>
      <c r="Q364" s="26" t="s">
        <v>82</v>
      </c>
      <c r="R364" s="26" t="s">
        <v>82</v>
      </c>
      <c r="S364" s="26" t="s">
        <v>82</v>
      </c>
      <c r="T364" s="26" t="s">
        <v>82</v>
      </c>
      <c r="U364" s="26" t="s">
        <v>82</v>
      </c>
      <c r="V364" s="180">
        <f t="shared" si="73"/>
        <v>45835</v>
      </c>
      <c r="W364" s="181">
        <f t="shared" si="71"/>
        <v>6</v>
      </c>
      <c r="AD364" s="180">
        <f t="shared" si="80"/>
        <v>45835</v>
      </c>
      <c r="AE364" s="177">
        <f t="shared" si="74"/>
        <v>1</v>
      </c>
      <c r="AF364" s="177">
        <f t="shared" si="75"/>
        <v>1</v>
      </c>
      <c r="AG364" s="177">
        <f t="shared" si="76"/>
        <v>1</v>
      </c>
      <c r="AH364" s="177">
        <f t="shared" si="77"/>
        <v>1</v>
      </c>
      <c r="AI364" s="177">
        <f t="shared" si="78"/>
        <v>1</v>
      </c>
    </row>
    <row r="365" spans="15:35" x14ac:dyDescent="0.25">
      <c r="O365" s="180">
        <f t="shared" si="79"/>
        <v>45836</v>
      </c>
      <c r="P365" s="181">
        <f t="shared" si="72"/>
        <v>7</v>
      </c>
      <c r="Q365" s="26" t="s">
        <v>82</v>
      </c>
      <c r="R365" s="26" t="s">
        <v>82</v>
      </c>
      <c r="S365" s="26" t="s">
        <v>82</v>
      </c>
      <c r="T365" s="26" t="s">
        <v>82</v>
      </c>
      <c r="U365" s="26" t="s">
        <v>82</v>
      </c>
      <c r="V365" s="180">
        <f t="shared" si="73"/>
        <v>45836</v>
      </c>
      <c r="W365" s="181">
        <f t="shared" si="71"/>
        <v>7</v>
      </c>
      <c r="AD365" s="180">
        <f t="shared" si="80"/>
        <v>45836</v>
      </c>
      <c r="AE365" s="177">
        <f t="shared" si="74"/>
        <v>1</v>
      </c>
      <c r="AF365" s="177">
        <f t="shared" si="75"/>
        <v>1</v>
      </c>
      <c r="AG365" s="177">
        <f t="shared" si="76"/>
        <v>1</v>
      </c>
      <c r="AH365" s="177">
        <f t="shared" si="77"/>
        <v>1</v>
      </c>
      <c r="AI365" s="177">
        <f t="shared" si="78"/>
        <v>1</v>
      </c>
    </row>
    <row r="366" spans="15:35" x14ac:dyDescent="0.25">
      <c r="O366" s="180">
        <f t="shared" si="79"/>
        <v>45837</v>
      </c>
      <c r="P366" s="181">
        <f t="shared" si="72"/>
        <v>1</v>
      </c>
      <c r="Q366" s="26" t="s">
        <v>82</v>
      </c>
      <c r="R366" s="26" t="s">
        <v>82</v>
      </c>
      <c r="S366" s="26" t="s">
        <v>82</v>
      </c>
      <c r="T366" s="26" t="s">
        <v>82</v>
      </c>
      <c r="U366" s="26" t="s">
        <v>82</v>
      </c>
      <c r="V366" s="180">
        <f t="shared" si="73"/>
        <v>45837</v>
      </c>
      <c r="W366" s="181">
        <f t="shared" si="71"/>
        <v>1</v>
      </c>
      <c r="AD366" s="180">
        <f t="shared" si="80"/>
        <v>45837</v>
      </c>
      <c r="AE366" s="177">
        <f t="shared" si="74"/>
        <v>1</v>
      </c>
      <c r="AF366" s="177">
        <f t="shared" si="75"/>
        <v>1</v>
      </c>
      <c r="AG366" s="177">
        <f t="shared" si="76"/>
        <v>1</v>
      </c>
      <c r="AH366" s="177">
        <f t="shared" si="77"/>
        <v>1</v>
      </c>
      <c r="AI366" s="177">
        <f t="shared" si="78"/>
        <v>1</v>
      </c>
    </row>
    <row r="367" spans="15:35" x14ac:dyDescent="0.25">
      <c r="O367" s="180">
        <f t="shared" si="79"/>
        <v>45838</v>
      </c>
      <c r="P367" s="181">
        <f t="shared" si="72"/>
        <v>2</v>
      </c>
      <c r="Q367" s="26" t="s">
        <v>82</v>
      </c>
      <c r="R367" s="26" t="s">
        <v>82</v>
      </c>
      <c r="S367" s="26" t="s">
        <v>82</v>
      </c>
      <c r="T367" s="26" t="s">
        <v>82</v>
      </c>
      <c r="U367" s="26" t="s">
        <v>82</v>
      </c>
      <c r="V367" s="180">
        <f t="shared" si="73"/>
        <v>45838</v>
      </c>
      <c r="W367" s="181">
        <f t="shared" si="71"/>
        <v>2</v>
      </c>
      <c r="AD367" s="180">
        <f t="shared" si="80"/>
        <v>45838</v>
      </c>
      <c r="AE367" s="177">
        <f t="shared" si="74"/>
        <v>1</v>
      </c>
      <c r="AF367" s="177">
        <f t="shared" si="75"/>
        <v>1</v>
      </c>
      <c r="AG367" s="177">
        <f t="shared" si="76"/>
        <v>1</v>
      </c>
      <c r="AH367" s="177">
        <f t="shared" si="77"/>
        <v>1</v>
      </c>
      <c r="AI367" s="177">
        <f t="shared" si="78"/>
        <v>1</v>
      </c>
    </row>
    <row r="368" spans="15:35" x14ac:dyDescent="0.25">
      <c r="O368" s="180">
        <f t="shared" si="79"/>
        <v>45839</v>
      </c>
      <c r="P368" s="181">
        <f t="shared" si="72"/>
        <v>3</v>
      </c>
      <c r="Q368" s="26" t="s">
        <v>82</v>
      </c>
      <c r="R368" s="26" t="s">
        <v>82</v>
      </c>
      <c r="S368" s="26" t="s">
        <v>82</v>
      </c>
      <c r="T368" s="26" t="s">
        <v>82</v>
      </c>
      <c r="U368" s="26" t="s">
        <v>82</v>
      </c>
      <c r="V368" s="180">
        <f t="shared" si="73"/>
        <v>45839</v>
      </c>
      <c r="W368" s="181">
        <f t="shared" si="71"/>
        <v>3</v>
      </c>
      <c r="AD368" s="180">
        <f t="shared" si="80"/>
        <v>45839</v>
      </c>
      <c r="AE368" s="177">
        <f t="shared" si="74"/>
        <v>1</v>
      </c>
      <c r="AF368" s="177">
        <f t="shared" si="75"/>
        <v>1</v>
      </c>
      <c r="AG368" s="177">
        <f t="shared" si="76"/>
        <v>1</v>
      </c>
      <c r="AH368" s="177">
        <f t="shared" si="77"/>
        <v>1</v>
      </c>
      <c r="AI368" s="177">
        <f t="shared" si="78"/>
        <v>1</v>
      </c>
    </row>
    <row r="369" spans="15:35" x14ac:dyDescent="0.25">
      <c r="O369" s="180">
        <f t="shared" si="79"/>
        <v>45840</v>
      </c>
      <c r="P369" s="181">
        <f t="shared" si="72"/>
        <v>4</v>
      </c>
      <c r="Q369" s="26" t="s">
        <v>82</v>
      </c>
      <c r="R369" s="26" t="s">
        <v>82</v>
      </c>
      <c r="S369" s="26" t="s">
        <v>82</v>
      </c>
      <c r="T369" s="26" t="s">
        <v>82</v>
      </c>
      <c r="U369" s="26" t="s">
        <v>82</v>
      </c>
      <c r="V369" s="180">
        <f t="shared" si="73"/>
        <v>45840</v>
      </c>
      <c r="W369" s="181">
        <f t="shared" si="71"/>
        <v>4</v>
      </c>
      <c r="AD369" s="180">
        <f t="shared" si="80"/>
        <v>45840</v>
      </c>
      <c r="AE369" s="177">
        <f t="shared" si="74"/>
        <v>1</v>
      </c>
      <c r="AF369" s="177">
        <f t="shared" si="75"/>
        <v>1</v>
      </c>
      <c r="AG369" s="177">
        <f t="shared" si="76"/>
        <v>1</v>
      </c>
      <c r="AH369" s="177">
        <f t="shared" si="77"/>
        <v>1</v>
      </c>
      <c r="AI369" s="177">
        <f t="shared" si="78"/>
        <v>1</v>
      </c>
    </row>
    <row r="370" spans="15:35" x14ac:dyDescent="0.25">
      <c r="O370" s="180">
        <f t="shared" si="79"/>
        <v>45841</v>
      </c>
      <c r="P370" s="181">
        <f t="shared" si="72"/>
        <v>5</v>
      </c>
      <c r="Q370" s="26" t="s">
        <v>82</v>
      </c>
      <c r="R370" s="26" t="s">
        <v>82</v>
      </c>
      <c r="S370" s="26" t="s">
        <v>82</v>
      </c>
      <c r="T370" s="26" t="s">
        <v>82</v>
      </c>
      <c r="U370" s="26" t="s">
        <v>82</v>
      </c>
      <c r="V370" s="180">
        <f t="shared" si="73"/>
        <v>45841</v>
      </c>
      <c r="W370" s="181">
        <f t="shared" si="71"/>
        <v>5</v>
      </c>
      <c r="AD370" s="180">
        <f t="shared" si="80"/>
        <v>45841</v>
      </c>
      <c r="AE370" s="177">
        <f t="shared" si="74"/>
        <v>1</v>
      </c>
      <c r="AF370" s="177">
        <f t="shared" si="75"/>
        <v>1</v>
      </c>
      <c r="AG370" s="177">
        <f t="shared" si="76"/>
        <v>1</v>
      </c>
      <c r="AH370" s="177">
        <f t="shared" si="77"/>
        <v>1</v>
      </c>
      <c r="AI370" s="177">
        <f t="shared" si="78"/>
        <v>1</v>
      </c>
    </row>
    <row r="371" spans="15:35" x14ac:dyDescent="0.25">
      <c r="O371" s="180">
        <f t="shared" si="79"/>
        <v>45842</v>
      </c>
      <c r="P371" s="181">
        <f t="shared" si="72"/>
        <v>6</v>
      </c>
      <c r="Q371" s="26" t="s">
        <v>82</v>
      </c>
      <c r="R371" s="26" t="s">
        <v>82</v>
      </c>
      <c r="S371" s="26" t="s">
        <v>82</v>
      </c>
      <c r="T371" s="26" t="s">
        <v>82</v>
      </c>
      <c r="U371" s="26" t="s">
        <v>82</v>
      </c>
      <c r="V371" s="180">
        <f t="shared" si="73"/>
        <v>45842</v>
      </c>
      <c r="W371" s="181">
        <f t="shared" si="71"/>
        <v>6</v>
      </c>
      <c r="AD371" s="180">
        <f t="shared" si="80"/>
        <v>45842</v>
      </c>
      <c r="AE371" s="177">
        <f t="shared" si="74"/>
        <v>1</v>
      </c>
      <c r="AF371" s="177">
        <f t="shared" si="75"/>
        <v>1</v>
      </c>
      <c r="AG371" s="177">
        <f t="shared" si="76"/>
        <v>1</v>
      </c>
      <c r="AH371" s="177">
        <f t="shared" si="77"/>
        <v>1</v>
      </c>
      <c r="AI371" s="177">
        <f t="shared" si="78"/>
        <v>1</v>
      </c>
    </row>
    <row r="372" spans="15:35" x14ac:dyDescent="0.25">
      <c r="O372" s="180">
        <f t="shared" si="79"/>
        <v>45843</v>
      </c>
      <c r="P372" s="181">
        <f t="shared" si="72"/>
        <v>7</v>
      </c>
      <c r="Q372" s="26" t="s">
        <v>82</v>
      </c>
      <c r="R372" s="26" t="s">
        <v>82</v>
      </c>
      <c r="S372" s="26" t="s">
        <v>82</v>
      </c>
      <c r="T372" s="26" t="s">
        <v>82</v>
      </c>
      <c r="U372" s="26" t="s">
        <v>82</v>
      </c>
      <c r="V372" s="180">
        <f t="shared" si="73"/>
        <v>45843</v>
      </c>
      <c r="W372" s="181">
        <f t="shared" si="71"/>
        <v>7</v>
      </c>
      <c r="AD372" s="180">
        <f t="shared" si="80"/>
        <v>45843</v>
      </c>
      <c r="AE372" s="177">
        <f t="shared" si="74"/>
        <v>1</v>
      </c>
      <c r="AF372" s="177">
        <f t="shared" si="75"/>
        <v>1</v>
      </c>
      <c r="AG372" s="177">
        <f t="shared" si="76"/>
        <v>1</v>
      </c>
      <c r="AH372" s="177">
        <f t="shared" si="77"/>
        <v>1</v>
      </c>
      <c r="AI372" s="177">
        <f t="shared" si="78"/>
        <v>1</v>
      </c>
    </row>
    <row r="373" spans="15:35" x14ac:dyDescent="0.25">
      <c r="O373" s="180">
        <f t="shared" si="79"/>
        <v>45844</v>
      </c>
      <c r="P373" s="181">
        <f t="shared" si="72"/>
        <v>1</v>
      </c>
      <c r="Q373" s="26" t="s">
        <v>82</v>
      </c>
      <c r="R373" s="26" t="s">
        <v>82</v>
      </c>
      <c r="S373" s="26" t="s">
        <v>82</v>
      </c>
      <c r="T373" s="26" t="s">
        <v>82</v>
      </c>
      <c r="U373" s="26" t="s">
        <v>82</v>
      </c>
      <c r="V373" s="180">
        <f t="shared" si="73"/>
        <v>45844</v>
      </c>
      <c r="W373" s="181">
        <f t="shared" si="71"/>
        <v>1</v>
      </c>
      <c r="AD373" s="180">
        <f t="shared" si="80"/>
        <v>45844</v>
      </c>
      <c r="AE373" s="177">
        <f t="shared" si="74"/>
        <v>1</v>
      </c>
      <c r="AF373" s="177">
        <f t="shared" si="75"/>
        <v>1</v>
      </c>
      <c r="AG373" s="177">
        <f t="shared" si="76"/>
        <v>1</v>
      </c>
      <c r="AH373" s="177">
        <f t="shared" si="77"/>
        <v>1</v>
      </c>
      <c r="AI373" s="177">
        <f t="shared" si="78"/>
        <v>1</v>
      </c>
    </row>
    <row r="374" spans="15:35" x14ac:dyDescent="0.25">
      <c r="O374" s="180">
        <f t="shared" si="79"/>
        <v>45845</v>
      </c>
      <c r="P374" s="181">
        <f t="shared" si="72"/>
        <v>2</v>
      </c>
      <c r="Q374" s="26" t="s">
        <v>82</v>
      </c>
      <c r="R374" s="26" t="s">
        <v>82</v>
      </c>
      <c r="S374" s="26" t="s">
        <v>82</v>
      </c>
      <c r="T374" s="26" t="s">
        <v>82</v>
      </c>
      <c r="U374" s="26" t="s">
        <v>82</v>
      </c>
      <c r="V374" s="180">
        <f t="shared" si="73"/>
        <v>45845</v>
      </c>
      <c r="W374" s="181">
        <f t="shared" si="71"/>
        <v>2</v>
      </c>
      <c r="AD374" s="180">
        <f t="shared" si="80"/>
        <v>45845</v>
      </c>
      <c r="AE374" s="177">
        <f t="shared" si="74"/>
        <v>1</v>
      </c>
      <c r="AF374" s="177">
        <f t="shared" si="75"/>
        <v>1</v>
      </c>
      <c r="AG374" s="177">
        <f t="shared" si="76"/>
        <v>1</v>
      </c>
      <c r="AH374" s="177">
        <f t="shared" si="77"/>
        <v>1</v>
      </c>
      <c r="AI374" s="177">
        <f t="shared" si="78"/>
        <v>1</v>
      </c>
    </row>
    <row r="375" spans="15:35" x14ac:dyDescent="0.25">
      <c r="O375" s="180">
        <f t="shared" si="79"/>
        <v>45846</v>
      </c>
      <c r="P375" s="181">
        <f t="shared" si="72"/>
        <v>3</v>
      </c>
      <c r="Q375" s="26" t="s">
        <v>82</v>
      </c>
      <c r="R375" s="26" t="s">
        <v>82</v>
      </c>
      <c r="S375" s="26" t="s">
        <v>82</v>
      </c>
      <c r="T375" s="26" t="s">
        <v>82</v>
      </c>
      <c r="U375" s="26" t="s">
        <v>82</v>
      </c>
      <c r="V375" s="180">
        <f t="shared" si="73"/>
        <v>45846</v>
      </c>
      <c r="W375" s="181">
        <f t="shared" si="71"/>
        <v>3</v>
      </c>
      <c r="AD375" s="180">
        <f t="shared" si="80"/>
        <v>45846</v>
      </c>
      <c r="AE375" s="177">
        <f t="shared" si="74"/>
        <v>1</v>
      </c>
      <c r="AF375" s="177">
        <f t="shared" si="75"/>
        <v>1</v>
      </c>
      <c r="AG375" s="177">
        <f t="shared" si="76"/>
        <v>1</v>
      </c>
      <c r="AH375" s="177">
        <f t="shared" si="77"/>
        <v>1</v>
      </c>
      <c r="AI375" s="177">
        <f t="shared" si="78"/>
        <v>1</v>
      </c>
    </row>
    <row r="376" spans="15:35" x14ac:dyDescent="0.25">
      <c r="O376" s="180">
        <f t="shared" si="79"/>
        <v>45847</v>
      </c>
      <c r="P376" s="181">
        <f t="shared" si="72"/>
        <v>4</v>
      </c>
      <c r="Q376" s="26" t="s">
        <v>82</v>
      </c>
      <c r="R376" s="26" t="s">
        <v>82</v>
      </c>
      <c r="S376" s="26" t="s">
        <v>82</v>
      </c>
      <c r="T376" s="26" t="s">
        <v>82</v>
      </c>
      <c r="U376" s="26" t="s">
        <v>82</v>
      </c>
      <c r="V376" s="180">
        <f t="shared" si="73"/>
        <v>45847</v>
      </c>
      <c r="W376" s="181">
        <f t="shared" si="71"/>
        <v>4</v>
      </c>
      <c r="AD376" s="180">
        <f t="shared" si="80"/>
        <v>45847</v>
      </c>
      <c r="AE376" s="177">
        <f t="shared" si="74"/>
        <v>1</v>
      </c>
      <c r="AF376" s="177">
        <f t="shared" si="75"/>
        <v>1</v>
      </c>
      <c r="AG376" s="177">
        <f t="shared" si="76"/>
        <v>1</v>
      </c>
      <c r="AH376" s="177">
        <f t="shared" si="77"/>
        <v>1</v>
      </c>
      <c r="AI376" s="177">
        <f t="shared" si="78"/>
        <v>1</v>
      </c>
    </row>
    <row r="377" spans="15:35" x14ac:dyDescent="0.25">
      <c r="O377" s="180">
        <f t="shared" si="79"/>
        <v>45848</v>
      </c>
      <c r="P377" s="181">
        <f t="shared" si="72"/>
        <v>5</v>
      </c>
      <c r="Q377" s="26" t="s">
        <v>82</v>
      </c>
      <c r="R377" s="26" t="s">
        <v>82</v>
      </c>
      <c r="S377" s="26" t="s">
        <v>82</v>
      </c>
      <c r="T377" s="26" t="s">
        <v>82</v>
      </c>
      <c r="U377" s="26" t="s">
        <v>82</v>
      </c>
      <c r="V377" s="180">
        <f t="shared" si="73"/>
        <v>45848</v>
      </c>
      <c r="W377" s="181">
        <f t="shared" si="71"/>
        <v>5</v>
      </c>
      <c r="AD377" s="180">
        <f t="shared" si="80"/>
        <v>45848</v>
      </c>
      <c r="AE377" s="177">
        <f t="shared" si="74"/>
        <v>1</v>
      </c>
      <c r="AF377" s="177">
        <f t="shared" si="75"/>
        <v>1</v>
      </c>
      <c r="AG377" s="177">
        <f t="shared" si="76"/>
        <v>1</v>
      </c>
      <c r="AH377" s="177">
        <f t="shared" si="77"/>
        <v>1</v>
      </c>
      <c r="AI377" s="177">
        <f t="shared" si="78"/>
        <v>1</v>
      </c>
    </row>
    <row r="378" spans="15:35" x14ac:dyDescent="0.25">
      <c r="O378" s="180">
        <f t="shared" si="79"/>
        <v>45849</v>
      </c>
      <c r="P378" s="181">
        <f t="shared" si="72"/>
        <v>6</v>
      </c>
      <c r="Q378" s="26" t="s">
        <v>82</v>
      </c>
      <c r="R378" s="26" t="s">
        <v>82</v>
      </c>
      <c r="S378" s="26" t="s">
        <v>82</v>
      </c>
      <c r="T378" s="26" t="s">
        <v>82</v>
      </c>
      <c r="U378" s="26" t="s">
        <v>82</v>
      </c>
      <c r="V378" s="180">
        <f t="shared" si="73"/>
        <v>45849</v>
      </c>
      <c r="W378" s="181">
        <f t="shared" si="71"/>
        <v>6</v>
      </c>
      <c r="AD378" s="180">
        <f t="shared" si="80"/>
        <v>45849</v>
      </c>
      <c r="AE378" s="177">
        <f t="shared" si="74"/>
        <v>1</v>
      </c>
      <c r="AF378" s="177">
        <f t="shared" si="75"/>
        <v>1</v>
      </c>
      <c r="AG378" s="177">
        <f t="shared" si="76"/>
        <v>1</v>
      </c>
      <c r="AH378" s="177">
        <f t="shared" si="77"/>
        <v>1</v>
      </c>
      <c r="AI378" s="177">
        <f t="shared" si="78"/>
        <v>1</v>
      </c>
    </row>
    <row r="379" spans="15:35" x14ac:dyDescent="0.25">
      <c r="O379" s="180">
        <f t="shared" si="79"/>
        <v>45850</v>
      </c>
      <c r="P379" s="181">
        <f t="shared" si="72"/>
        <v>7</v>
      </c>
      <c r="Q379" s="26" t="s">
        <v>82</v>
      </c>
      <c r="R379" s="26" t="s">
        <v>82</v>
      </c>
      <c r="S379" s="26" t="s">
        <v>82</v>
      </c>
      <c r="T379" s="26" t="s">
        <v>82</v>
      </c>
      <c r="U379" s="26" t="s">
        <v>82</v>
      </c>
      <c r="V379" s="180">
        <f t="shared" si="73"/>
        <v>45850</v>
      </c>
      <c r="W379" s="181">
        <f t="shared" si="71"/>
        <v>7</v>
      </c>
      <c r="AD379" s="180">
        <f t="shared" si="80"/>
        <v>45850</v>
      </c>
      <c r="AE379" s="177">
        <f t="shared" si="74"/>
        <v>1</v>
      </c>
      <c r="AF379" s="177">
        <f t="shared" si="75"/>
        <v>1</v>
      </c>
      <c r="AG379" s="177">
        <f t="shared" si="76"/>
        <v>1</v>
      </c>
      <c r="AH379" s="177">
        <f t="shared" si="77"/>
        <v>1</v>
      </c>
      <c r="AI379" s="177">
        <f t="shared" si="78"/>
        <v>1</v>
      </c>
    </row>
    <row r="380" spans="15:35" x14ac:dyDescent="0.25">
      <c r="O380" s="180">
        <f t="shared" si="79"/>
        <v>45851</v>
      </c>
      <c r="P380" s="181">
        <f t="shared" si="72"/>
        <v>1</v>
      </c>
      <c r="Q380" s="26" t="s">
        <v>82</v>
      </c>
      <c r="R380" s="26" t="s">
        <v>82</v>
      </c>
      <c r="S380" s="26" t="s">
        <v>82</v>
      </c>
      <c r="T380" s="26" t="s">
        <v>82</v>
      </c>
      <c r="U380" s="26" t="s">
        <v>82</v>
      </c>
      <c r="V380" s="180">
        <f t="shared" si="73"/>
        <v>45851</v>
      </c>
      <c r="W380" s="181">
        <f t="shared" si="71"/>
        <v>1</v>
      </c>
      <c r="AD380" s="180">
        <f t="shared" si="80"/>
        <v>45851</v>
      </c>
      <c r="AE380" s="177">
        <f t="shared" si="74"/>
        <v>1</v>
      </c>
      <c r="AF380" s="177">
        <f t="shared" si="75"/>
        <v>1</v>
      </c>
      <c r="AG380" s="177">
        <f t="shared" si="76"/>
        <v>1</v>
      </c>
      <c r="AH380" s="177">
        <f t="shared" si="77"/>
        <v>1</v>
      </c>
      <c r="AI380" s="177">
        <f t="shared" si="78"/>
        <v>1</v>
      </c>
    </row>
    <row r="381" spans="15:35" x14ac:dyDescent="0.25">
      <c r="O381" s="180">
        <f t="shared" si="79"/>
        <v>45852</v>
      </c>
      <c r="P381" s="181">
        <f t="shared" si="72"/>
        <v>2</v>
      </c>
      <c r="Q381" s="26" t="s">
        <v>82</v>
      </c>
      <c r="R381" s="26" t="s">
        <v>82</v>
      </c>
      <c r="S381" s="26" t="s">
        <v>82</v>
      </c>
      <c r="T381" s="26" t="s">
        <v>82</v>
      </c>
      <c r="U381" s="26" t="s">
        <v>82</v>
      </c>
      <c r="V381" s="180">
        <f t="shared" si="73"/>
        <v>45852</v>
      </c>
      <c r="W381" s="181">
        <f t="shared" si="71"/>
        <v>2</v>
      </c>
      <c r="AD381" s="180">
        <f t="shared" si="80"/>
        <v>45852</v>
      </c>
      <c r="AE381" s="177">
        <f t="shared" si="74"/>
        <v>1</v>
      </c>
      <c r="AF381" s="177">
        <f t="shared" si="75"/>
        <v>1</v>
      </c>
      <c r="AG381" s="177">
        <f t="shared" si="76"/>
        <v>1</v>
      </c>
      <c r="AH381" s="177">
        <f t="shared" si="77"/>
        <v>1</v>
      </c>
      <c r="AI381" s="177">
        <f t="shared" si="78"/>
        <v>1</v>
      </c>
    </row>
    <row r="382" spans="15:35" x14ac:dyDescent="0.25">
      <c r="O382" s="180">
        <f t="shared" si="79"/>
        <v>45853</v>
      </c>
      <c r="P382" s="181">
        <f t="shared" si="72"/>
        <v>3</v>
      </c>
      <c r="Q382" s="26" t="s">
        <v>82</v>
      </c>
      <c r="R382" s="26" t="s">
        <v>82</v>
      </c>
      <c r="S382" s="26" t="s">
        <v>82</v>
      </c>
      <c r="T382" s="26" t="s">
        <v>82</v>
      </c>
      <c r="U382" s="26" t="s">
        <v>82</v>
      </c>
      <c r="V382" s="180">
        <f t="shared" si="73"/>
        <v>45853</v>
      </c>
      <c r="W382" s="181">
        <f t="shared" si="71"/>
        <v>3</v>
      </c>
      <c r="AD382" s="180">
        <f t="shared" si="80"/>
        <v>45853</v>
      </c>
      <c r="AE382" s="177">
        <f t="shared" si="74"/>
        <v>1</v>
      </c>
      <c r="AF382" s="177">
        <f t="shared" si="75"/>
        <v>1</v>
      </c>
      <c r="AG382" s="177">
        <f t="shared" si="76"/>
        <v>1</v>
      </c>
      <c r="AH382" s="177">
        <f t="shared" si="77"/>
        <v>1</v>
      </c>
      <c r="AI382" s="177">
        <f t="shared" si="78"/>
        <v>1</v>
      </c>
    </row>
    <row r="383" spans="15:35" x14ac:dyDescent="0.25">
      <c r="O383" s="180">
        <f t="shared" si="79"/>
        <v>45854</v>
      </c>
      <c r="P383" s="181">
        <f t="shared" si="72"/>
        <v>4</v>
      </c>
      <c r="Q383" s="26" t="s">
        <v>82</v>
      </c>
      <c r="R383" s="26" t="s">
        <v>82</v>
      </c>
      <c r="S383" s="26" t="s">
        <v>82</v>
      </c>
      <c r="T383" s="26" t="s">
        <v>82</v>
      </c>
      <c r="U383" s="26" t="s">
        <v>82</v>
      </c>
      <c r="V383" s="180">
        <f t="shared" si="73"/>
        <v>45854</v>
      </c>
      <c r="W383" s="181">
        <f t="shared" si="71"/>
        <v>4</v>
      </c>
      <c r="AD383" s="180">
        <f t="shared" si="80"/>
        <v>45854</v>
      </c>
      <c r="AE383" s="177">
        <f t="shared" si="74"/>
        <v>1</v>
      </c>
      <c r="AF383" s="177">
        <f t="shared" si="75"/>
        <v>1</v>
      </c>
      <c r="AG383" s="177">
        <f t="shared" si="76"/>
        <v>1</v>
      </c>
      <c r="AH383" s="177">
        <f t="shared" si="77"/>
        <v>1</v>
      </c>
      <c r="AI383" s="177">
        <f t="shared" si="78"/>
        <v>1</v>
      </c>
    </row>
    <row r="384" spans="15:35" x14ac:dyDescent="0.25">
      <c r="O384" s="180">
        <f t="shared" si="79"/>
        <v>45855</v>
      </c>
      <c r="P384" s="181">
        <f t="shared" si="72"/>
        <v>5</v>
      </c>
      <c r="Q384" s="26" t="s">
        <v>82</v>
      </c>
      <c r="R384" s="26" t="s">
        <v>82</v>
      </c>
      <c r="S384" s="26" t="s">
        <v>82</v>
      </c>
      <c r="T384" s="26" t="s">
        <v>82</v>
      </c>
      <c r="U384" s="26" t="s">
        <v>82</v>
      </c>
      <c r="V384" s="180">
        <f t="shared" si="73"/>
        <v>45855</v>
      </c>
      <c r="W384" s="181">
        <f t="shared" si="71"/>
        <v>5</v>
      </c>
      <c r="AD384" s="180">
        <f t="shared" si="80"/>
        <v>45855</v>
      </c>
      <c r="AE384" s="177">
        <f t="shared" si="74"/>
        <v>1</v>
      </c>
      <c r="AF384" s="177">
        <f t="shared" si="75"/>
        <v>1</v>
      </c>
      <c r="AG384" s="177">
        <f t="shared" si="76"/>
        <v>1</v>
      </c>
      <c r="AH384" s="177">
        <f t="shared" si="77"/>
        <v>1</v>
      </c>
      <c r="AI384" s="177">
        <f t="shared" si="78"/>
        <v>1</v>
      </c>
    </row>
    <row r="385" spans="15:35" x14ac:dyDescent="0.25">
      <c r="O385" s="180">
        <f t="shared" si="79"/>
        <v>45856</v>
      </c>
      <c r="P385" s="181">
        <f t="shared" si="72"/>
        <v>6</v>
      </c>
      <c r="Q385" s="26" t="s">
        <v>82</v>
      </c>
      <c r="R385" s="26" t="s">
        <v>82</v>
      </c>
      <c r="S385" s="26" t="s">
        <v>82</v>
      </c>
      <c r="T385" s="26" t="s">
        <v>82</v>
      </c>
      <c r="U385" s="26" t="s">
        <v>82</v>
      </c>
      <c r="V385" s="180">
        <f t="shared" si="73"/>
        <v>45856</v>
      </c>
      <c r="W385" s="181">
        <f t="shared" si="71"/>
        <v>6</v>
      </c>
      <c r="AD385" s="180">
        <f t="shared" si="80"/>
        <v>45856</v>
      </c>
      <c r="AE385" s="177">
        <f t="shared" si="74"/>
        <v>1</v>
      </c>
      <c r="AF385" s="177">
        <f t="shared" si="75"/>
        <v>1</v>
      </c>
      <c r="AG385" s="177">
        <f t="shared" si="76"/>
        <v>1</v>
      </c>
      <c r="AH385" s="177">
        <f t="shared" si="77"/>
        <v>1</v>
      </c>
      <c r="AI385" s="177">
        <f t="shared" si="78"/>
        <v>1</v>
      </c>
    </row>
    <row r="386" spans="15:35" x14ac:dyDescent="0.25">
      <c r="O386" s="180">
        <f t="shared" si="79"/>
        <v>45857</v>
      </c>
      <c r="P386" s="181">
        <f t="shared" si="72"/>
        <v>7</v>
      </c>
      <c r="Q386" s="26" t="s">
        <v>82</v>
      </c>
      <c r="R386" s="26" t="s">
        <v>82</v>
      </c>
      <c r="S386" s="26" t="s">
        <v>82</v>
      </c>
      <c r="T386" s="26" t="s">
        <v>82</v>
      </c>
      <c r="U386" s="26" t="s">
        <v>82</v>
      </c>
      <c r="V386" s="180">
        <f t="shared" si="73"/>
        <v>45857</v>
      </c>
      <c r="W386" s="181">
        <f t="shared" si="71"/>
        <v>7</v>
      </c>
      <c r="AD386" s="180">
        <f t="shared" si="80"/>
        <v>45857</v>
      </c>
      <c r="AE386" s="177">
        <f t="shared" si="74"/>
        <v>1</v>
      </c>
      <c r="AF386" s="177">
        <f t="shared" si="75"/>
        <v>1</v>
      </c>
      <c r="AG386" s="177">
        <f t="shared" si="76"/>
        <v>1</v>
      </c>
      <c r="AH386" s="177">
        <f t="shared" si="77"/>
        <v>1</v>
      </c>
      <c r="AI386" s="177">
        <f t="shared" si="78"/>
        <v>1</v>
      </c>
    </row>
    <row r="387" spans="15:35" x14ac:dyDescent="0.25">
      <c r="O387" s="180">
        <f t="shared" si="79"/>
        <v>45858</v>
      </c>
      <c r="P387" s="181">
        <f t="shared" si="72"/>
        <v>1</v>
      </c>
      <c r="Q387" s="26" t="s">
        <v>82</v>
      </c>
      <c r="R387" s="26" t="s">
        <v>82</v>
      </c>
      <c r="S387" s="26" t="s">
        <v>82</v>
      </c>
      <c r="T387" s="26" t="s">
        <v>82</v>
      </c>
      <c r="U387" s="26" t="s">
        <v>82</v>
      </c>
      <c r="V387" s="180">
        <f t="shared" si="73"/>
        <v>45858</v>
      </c>
      <c r="W387" s="181">
        <f t="shared" ref="W387:W399" si="82">WEEKDAY(V387)</f>
        <v>1</v>
      </c>
      <c r="AD387" s="180">
        <f t="shared" si="80"/>
        <v>45858</v>
      </c>
      <c r="AE387" s="177">
        <f t="shared" si="74"/>
        <v>1</v>
      </c>
      <c r="AF387" s="177">
        <f t="shared" si="75"/>
        <v>1</v>
      </c>
      <c r="AG387" s="177">
        <f t="shared" si="76"/>
        <v>1</v>
      </c>
      <c r="AH387" s="177">
        <f t="shared" si="77"/>
        <v>1</v>
      </c>
      <c r="AI387" s="177">
        <f t="shared" si="78"/>
        <v>1</v>
      </c>
    </row>
    <row r="388" spans="15:35" x14ac:dyDescent="0.25">
      <c r="O388" s="180">
        <f t="shared" si="79"/>
        <v>45859</v>
      </c>
      <c r="P388" s="181">
        <f t="shared" ref="P388:P399" si="83">WEEKDAY(O388)</f>
        <v>2</v>
      </c>
      <c r="Q388" s="26" t="s">
        <v>82</v>
      </c>
      <c r="R388" s="26" t="s">
        <v>82</v>
      </c>
      <c r="S388" s="26" t="s">
        <v>82</v>
      </c>
      <c r="T388" s="26" t="s">
        <v>82</v>
      </c>
      <c r="U388" s="26" t="s">
        <v>82</v>
      </c>
      <c r="V388" s="180">
        <f t="shared" ref="V388:V398" si="84">V387+1</f>
        <v>45859</v>
      </c>
      <c r="W388" s="181">
        <f t="shared" si="82"/>
        <v>2</v>
      </c>
      <c r="AD388" s="180">
        <f t="shared" si="80"/>
        <v>45859</v>
      </c>
      <c r="AE388" s="177">
        <f t="shared" si="74"/>
        <v>1</v>
      </c>
      <c r="AF388" s="177">
        <f t="shared" si="75"/>
        <v>1</v>
      </c>
      <c r="AG388" s="177">
        <f t="shared" si="76"/>
        <v>1</v>
      </c>
      <c r="AH388" s="177">
        <f t="shared" si="77"/>
        <v>1</v>
      </c>
      <c r="AI388" s="177">
        <f t="shared" si="78"/>
        <v>1</v>
      </c>
    </row>
    <row r="389" spans="15:35" x14ac:dyDescent="0.25">
      <c r="O389" s="180">
        <f t="shared" si="79"/>
        <v>45860</v>
      </c>
      <c r="P389" s="181">
        <f t="shared" si="83"/>
        <v>3</v>
      </c>
      <c r="Q389" s="26" t="s">
        <v>82</v>
      </c>
      <c r="R389" s="26" t="s">
        <v>82</v>
      </c>
      <c r="S389" s="26" t="s">
        <v>82</v>
      </c>
      <c r="T389" s="26" t="s">
        <v>82</v>
      </c>
      <c r="U389" s="26" t="s">
        <v>82</v>
      </c>
      <c r="V389" s="180">
        <f t="shared" si="84"/>
        <v>45860</v>
      </c>
      <c r="W389" s="181">
        <f t="shared" si="82"/>
        <v>3</v>
      </c>
      <c r="AD389" s="180">
        <f t="shared" si="80"/>
        <v>45860</v>
      </c>
      <c r="AE389" s="177">
        <f t="shared" ref="AE389:AE399" si="85">AE388-(IF(Q389=1,1,0))</f>
        <v>1</v>
      </c>
      <c r="AF389" s="177">
        <f t="shared" ref="AF389:AF399" si="86">AF388-(IF(R389=1,1,0))</f>
        <v>1</v>
      </c>
      <c r="AG389" s="177">
        <f t="shared" ref="AG389:AG399" si="87">AG388-(IF(S389=1,1,0))</f>
        <v>1</v>
      </c>
      <c r="AH389" s="177">
        <f t="shared" ref="AH389:AH399" si="88">AH388-(IF(T389=1,1,0))</f>
        <v>1</v>
      </c>
      <c r="AI389" s="177">
        <f t="shared" ref="AI389:AI399" si="89">AI388-(IF(U389=1,1,0))</f>
        <v>1</v>
      </c>
    </row>
    <row r="390" spans="15:35" x14ac:dyDescent="0.25">
      <c r="O390" s="180">
        <f t="shared" ref="O390:O398" si="90">O389+1</f>
        <v>45861</v>
      </c>
      <c r="P390" s="181">
        <f t="shared" si="83"/>
        <v>4</v>
      </c>
      <c r="Q390" s="26" t="s">
        <v>82</v>
      </c>
      <c r="R390" s="26" t="s">
        <v>82</v>
      </c>
      <c r="S390" s="26" t="s">
        <v>82</v>
      </c>
      <c r="T390" s="26" t="s">
        <v>82</v>
      </c>
      <c r="U390" s="26" t="s">
        <v>82</v>
      </c>
      <c r="V390" s="180">
        <f t="shared" si="84"/>
        <v>45861</v>
      </c>
      <c r="W390" s="181">
        <f t="shared" si="82"/>
        <v>4</v>
      </c>
      <c r="AD390" s="180">
        <f t="shared" ref="AD390:AD398" si="91">AD389+1</f>
        <v>45861</v>
      </c>
      <c r="AE390" s="177">
        <f t="shared" si="85"/>
        <v>1</v>
      </c>
      <c r="AF390" s="177">
        <f t="shared" si="86"/>
        <v>1</v>
      </c>
      <c r="AG390" s="177">
        <f t="shared" si="87"/>
        <v>1</v>
      </c>
      <c r="AH390" s="177">
        <f t="shared" si="88"/>
        <v>1</v>
      </c>
      <c r="AI390" s="177">
        <f t="shared" si="89"/>
        <v>1</v>
      </c>
    </row>
    <row r="391" spans="15:35" x14ac:dyDescent="0.25">
      <c r="O391" s="180">
        <f>O390+1</f>
        <v>45862</v>
      </c>
      <c r="P391" s="181">
        <f t="shared" si="83"/>
        <v>5</v>
      </c>
      <c r="Q391" s="26" t="s">
        <v>82</v>
      </c>
      <c r="R391" s="26" t="s">
        <v>82</v>
      </c>
      <c r="S391" s="26" t="s">
        <v>82</v>
      </c>
      <c r="T391" s="26" t="s">
        <v>82</v>
      </c>
      <c r="U391" s="26" t="s">
        <v>82</v>
      </c>
      <c r="V391" s="180">
        <f t="shared" si="84"/>
        <v>45862</v>
      </c>
      <c r="W391" s="181">
        <f t="shared" si="82"/>
        <v>5</v>
      </c>
      <c r="AD391" s="180">
        <f>AD390+1</f>
        <v>45862</v>
      </c>
      <c r="AE391" s="177">
        <f t="shared" si="85"/>
        <v>1</v>
      </c>
      <c r="AF391" s="177">
        <f t="shared" si="86"/>
        <v>1</v>
      </c>
      <c r="AG391" s="177">
        <f t="shared" si="87"/>
        <v>1</v>
      </c>
      <c r="AH391" s="177">
        <f t="shared" si="88"/>
        <v>1</v>
      </c>
      <c r="AI391" s="177">
        <f t="shared" si="89"/>
        <v>1</v>
      </c>
    </row>
    <row r="392" spans="15:35" x14ac:dyDescent="0.25">
      <c r="O392" s="180">
        <f t="shared" si="90"/>
        <v>45863</v>
      </c>
      <c r="P392" s="181">
        <f t="shared" si="83"/>
        <v>6</v>
      </c>
      <c r="Q392" s="26" t="s">
        <v>82</v>
      </c>
      <c r="R392" s="26" t="s">
        <v>82</v>
      </c>
      <c r="S392" s="26" t="s">
        <v>82</v>
      </c>
      <c r="T392" s="26" t="s">
        <v>82</v>
      </c>
      <c r="U392" s="26" t="s">
        <v>82</v>
      </c>
      <c r="V392" s="180">
        <f t="shared" si="84"/>
        <v>45863</v>
      </c>
      <c r="W392" s="181">
        <f t="shared" si="82"/>
        <v>6</v>
      </c>
      <c r="AD392" s="180">
        <f t="shared" si="91"/>
        <v>45863</v>
      </c>
      <c r="AE392" s="177">
        <f t="shared" si="85"/>
        <v>1</v>
      </c>
      <c r="AF392" s="177">
        <f t="shared" si="86"/>
        <v>1</v>
      </c>
      <c r="AG392" s="177">
        <f t="shared" si="87"/>
        <v>1</v>
      </c>
      <c r="AH392" s="177">
        <f t="shared" si="88"/>
        <v>1</v>
      </c>
      <c r="AI392" s="177">
        <f t="shared" si="89"/>
        <v>1</v>
      </c>
    </row>
    <row r="393" spans="15:35" x14ac:dyDescent="0.25">
      <c r="O393" s="180">
        <f t="shared" si="90"/>
        <v>45864</v>
      </c>
      <c r="P393" s="181">
        <f t="shared" si="83"/>
        <v>7</v>
      </c>
      <c r="Q393" s="26" t="s">
        <v>82</v>
      </c>
      <c r="R393" s="26" t="s">
        <v>82</v>
      </c>
      <c r="S393" s="26" t="s">
        <v>82</v>
      </c>
      <c r="T393" s="26" t="s">
        <v>82</v>
      </c>
      <c r="U393" s="26" t="s">
        <v>82</v>
      </c>
      <c r="V393" s="180">
        <f t="shared" si="84"/>
        <v>45864</v>
      </c>
      <c r="W393" s="181">
        <f t="shared" si="82"/>
        <v>7</v>
      </c>
      <c r="AD393" s="180">
        <f t="shared" si="91"/>
        <v>45864</v>
      </c>
      <c r="AE393" s="177">
        <f t="shared" si="85"/>
        <v>1</v>
      </c>
      <c r="AF393" s="177">
        <f t="shared" si="86"/>
        <v>1</v>
      </c>
      <c r="AG393" s="177">
        <f t="shared" si="87"/>
        <v>1</v>
      </c>
      <c r="AH393" s="177">
        <f t="shared" si="88"/>
        <v>1</v>
      </c>
      <c r="AI393" s="177">
        <f t="shared" si="89"/>
        <v>1</v>
      </c>
    </row>
    <row r="394" spans="15:35" x14ac:dyDescent="0.25">
      <c r="O394" s="180">
        <f t="shared" si="90"/>
        <v>45865</v>
      </c>
      <c r="P394" s="181">
        <f t="shared" si="83"/>
        <v>1</v>
      </c>
      <c r="Q394" s="26" t="s">
        <v>82</v>
      </c>
      <c r="R394" s="26" t="s">
        <v>82</v>
      </c>
      <c r="S394" s="26" t="s">
        <v>82</v>
      </c>
      <c r="T394" s="26" t="s">
        <v>82</v>
      </c>
      <c r="U394" s="26" t="s">
        <v>82</v>
      </c>
      <c r="V394" s="180">
        <f t="shared" si="84"/>
        <v>45865</v>
      </c>
      <c r="W394" s="181">
        <f t="shared" si="82"/>
        <v>1</v>
      </c>
      <c r="AD394" s="180">
        <f t="shared" si="91"/>
        <v>45865</v>
      </c>
      <c r="AE394" s="177">
        <f t="shared" si="85"/>
        <v>1</v>
      </c>
      <c r="AF394" s="177">
        <f t="shared" si="86"/>
        <v>1</v>
      </c>
      <c r="AG394" s="177">
        <f t="shared" si="87"/>
        <v>1</v>
      </c>
      <c r="AH394" s="177">
        <f t="shared" si="88"/>
        <v>1</v>
      </c>
      <c r="AI394" s="177">
        <f t="shared" si="89"/>
        <v>1</v>
      </c>
    </row>
    <row r="395" spans="15:35" x14ac:dyDescent="0.25">
      <c r="O395" s="180">
        <f>O394+1</f>
        <v>45866</v>
      </c>
      <c r="P395" s="181">
        <f t="shared" si="83"/>
        <v>2</v>
      </c>
      <c r="Q395" s="26" t="s">
        <v>82</v>
      </c>
      <c r="R395" s="26" t="s">
        <v>82</v>
      </c>
      <c r="S395" s="26" t="s">
        <v>82</v>
      </c>
      <c r="T395" s="26" t="s">
        <v>82</v>
      </c>
      <c r="U395" s="26" t="s">
        <v>82</v>
      </c>
      <c r="V395" s="180">
        <f t="shared" si="84"/>
        <v>45866</v>
      </c>
      <c r="W395" s="181">
        <f t="shared" si="82"/>
        <v>2</v>
      </c>
      <c r="AD395" s="180">
        <f>AD394+1</f>
        <v>45866</v>
      </c>
      <c r="AE395" s="177">
        <f t="shared" si="85"/>
        <v>1</v>
      </c>
      <c r="AF395" s="177">
        <f t="shared" si="86"/>
        <v>1</v>
      </c>
      <c r="AG395" s="177">
        <f t="shared" si="87"/>
        <v>1</v>
      </c>
      <c r="AH395" s="177">
        <f t="shared" si="88"/>
        <v>1</v>
      </c>
      <c r="AI395" s="177">
        <f t="shared" si="89"/>
        <v>1</v>
      </c>
    </row>
    <row r="396" spans="15:35" x14ac:dyDescent="0.25">
      <c r="O396" s="180">
        <f t="shared" si="90"/>
        <v>45867</v>
      </c>
      <c r="P396" s="181">
        <f t="shared" si="83"/>
        <v>3</v>
      </c>
      <c r="Q396" s="26" t="s">
        <v>82</v>
      </c>
      <c r="R396" s="26" t="s">
        <v>82</v>
      </c>
      <c r="S396" s="26" t="s">
        <v>82</v>
      </c>
      <c r="T396" s="26" t="s">
        <v>82</v>
      </c>
      <c r="U396" s="26" t="s">
        <v>82</v>
      </c>
      <c r="V396" s="180">
        <f t="shared" si="84"/>
        <v>45867</v>
      </c>
      <c r="W396" s="181">
        <f t="shared" si="82"/>
        <v>3</v>
      </c>
      <c r="AD396" s="180">
        <f t="shared" si="91"/>
        <v>45867</v>
      </c>
      <c r="AE396" s="177">
        <f t="shared" si="85"/>
        <v>1</v>
      </c>
      <c r="AF396" s="177">
        <f t="shared" si="86"/>
        <v>1</v>
      </c>
      <c r="AG396" s="177">
        <f t="shared" si="87"/>
        <v>1</v>
      </c>
      <c r="AH396" s="177">
        <f t="shared" si="88"/>
        <v>1</v>
      </c>
      <c r="AI396" s="177">
        <f t="shared" si="89"/>
        <v>1</v>
      </c>
    </row>
    <row r="397" spans="15:35" x14ac:dyDescent="0.25">
      <c r="O397" s="180">
        <f t="shared" si="90"/>
        <v>45868</v>
      </c>
      <c r="P397" s="181">
        <f t="shared" si="83"/>
        <v>4</v>
      </c>
      <c r="Q397" s="26" t="s">
        <v>82</v>
      </c>
      <c r="R397" s="26" t="s">
        <v>82</v>
      </c>
      <c r="S397" s="26" t="s">
        <v>82</v>
      </c>
      <c r="T397" s="26" t="s">
        <v>82</v>
      </c>
      <c r="U397" s="26" t="s">
        <v>82</v>
      </c>
      <c r="V397" s="180">
        <f t="shared" si="84"/>
        <v>45868</v>
      </c>
      <c r="W397" s="181">
        <f t="shared" si="82"/>
        <v>4</v>
      </c>
      <c r="AD397" s="180">
        <f t="shared" si="91"/>
        <v>45868</v>
      </c>
      <c r="AE397" s="177">
        <f t="shared" si="85"/>
        <v>1</v>
      </c>
      <c r="AF397" s="177">
        <f t="shared" si="86"/>
        <v>1</v>
      </c>
      <c r="AG397" s="177">
        <f t="shared" si="87"/>
        <v>1</v>
      </c>
      <c r="AH397" s="177">
        <f t="shared" si="88"/>
        <v>1</v>
      </c>
      <c r="AI397" s="177">
        <f t="shared" si="89"/>
        <v>1</v>
      </c>
    </row>
    <row r="398" spans="15:35" x14ac:dyDescent="0.25">
      <c r="O398" s="180">
        <f t="shared" si="90"/>
        <v>45869</v>
      </c>
      <c r="P398" s="181">
        <f t="shared" si="83"/>
        <v>5</v>
      </c>
      <c r="Q398" s="26" t="s">
        <v>82</v>
      </c>
      <c r="R398" s="26" t="s">
        <v>82</v>
      </c>
      <c r="S398" s="26" t="s">
        <v>82</v>
      </c>
      <c r="T398" s="26" t="s">
        <v>82</v>
      </c>
      <c r="U398" s="26" t="s">
        <v>82</v>
      </c>
      <c r="V398" s="180">
        <f t="shared" si="84"/>
        <v>45869</v>
      </c>
      <c r="W398" s="181">
        <f t="shared" si="82"/>
        <v>5</v>
      </c>
      <c r="AD398" s="180">
        <f t="shared" si="91"/>
        <v>45869</v>
      </c>
      <c r="AE398" s="177">
        <f t="shared" si="85"/>
        <v>1</v>
      </c>
      <c r="AF398" s="177">
        <f t="shared" si="86"/>
        <v>1</v>
      </c>
      <c r="AG398" s="177">
        <f t="shared" si="87"/>
        <v>1</v>
      </c>
      <c r="AH398" s="177">
        <f t="shared" si="88"/>
        <v>1</v>
      </c>
      <c r="AI398" s="177">
        <f t="shared" si="89"/>
        <v>1</v>
      </c>
    </row>
    <row r="399" spans="15:35" x14ac:dyDescent="0.25">
      <c r="O399" s="180">
        <v>44043</v>
      </c>
      <c r="P399" s="181">
        <f t="shared" si="83"/>
        <v>6</v>
      </c>
      <c r="Q399" s="26" t="s">
        <v>82</v>
      </c>
      <c r="R399" s="26" t="s">
        <v>82</v>
      </c>
      <c r="S399" s="26" t="s">
        <v>82</v>
      </c>
      <c r="T399" s="26" t="s">
        <v>82</v>
      </c>
      <c r="U399" s="26" t="s">
        <v>82</v>
      </c>
      <c r="V399" s="180">
        <v>44043</v>
      </c>
      <c r="W399" s="181">
        <f t="shared" si="82"/>
        <v>6</v>
      </c>
      <c r="AD399" s="180">
        <v>44043</v>
      </c>
      <c r="AE399" s="177">
        <f t="shared" si="85"/>
        <v>1</v>
      </c>
      <c r="AF399" s="177">
        <f t="shared" si="86"/>
        <v>1</v>
      </c>
      <c r="AG399" s="177">
        <f t="shared" si="87"/>
        <v>1</v>
      </c>
      <c r="AH399" s="177">
        <f t="shared" si="88"/>
        <v>1</v>
      </c>
      <c r="AI399" s="177">
        <f t="shared" si="89"/>
        <v>1</v>
      </c>
    </row>
    <row r="400" spans="15:35" x14ac:dyDescent="0.25">
      <c r="Q400" s="26">
        <f>COUNTIF(Q3:Q399,1)</f>
        <v>207</v>
      </c>
      <c r="R400" s="130">
        <f>COUNTIF(R3:R399,1)</f>
        <v>207</v>
      </c>
      <c r="S400" s="130">
        <f t="shared" ref="S400:U400" si="92">COUNTIF(S3:S399,1)</f>
        <v>187</v>
      </c>
      <c r="T400" s="130">
        <f t="shared" si="92"/>
        <v>187</v>
      </c>
      <c r="U400" s="130">
        <f t="shared" si="92"/>
        <v>187</v>
      </c>
    </row>
  </sheetData>
  <sheetProtection algorithmName="SHA-512" hashValue="b2GmTBsB/UvWj7MOR5sG/lKZeZQJhfUB1aeEA3iSXweu20xPfUbRWcaLYqNVMy+NIiD1K4BHAAllAO+LoFWfag==" saltValue="arz0TMQM8UZ+QYa2IDUvEQ==" spinCount="100000" sheet="1" selectLockedCells="1"/>
  <autoFilter ref="O1:AC399" xr:uid="{00000000-0009-0000-0000-000002000000}"/>
  <sortState ref="AK2:AN114">
    <sortCondition ref="AL2"/>
  </sortState>
  <mergeCells count="2">
    <mergeCell ref="F1:G1"/>
    <mergeCell ref="F2:G2"/>
  </mergeCells>
  <conditionalFormatting sqref="P3:P399 R69:T69 Q36:Q65 R145:T150 R173:T188 R236:T240 R276:T276 R277:U280 R332:U336 Q276:Q399 Q67:Q270 R115:U121 S122 U122 R353:R399 T357:U399">
    <cfRule type="expression" dxfId="65" priority="201">
      <formula>$G2=7</formula>
    </cfRule>
    <cfRule type="expression" dxfId="64" priority="202">
      <formula>$G2=1</formula>
    </cfRule>
  </conditionalFormatting>
  <conditionalFormatting sqref="W3:W399">
    <cfRule type="expression" dxfId="63" priority="197">
      <formula>$G2=7</formula>
    </cfRule>
    <cfRule type="expression" dxfId="62" priority="198">
      <formula>$G2=1</formula>
    </cfRule>
  </conditionalFormatting>
  <conditionalFormatting sqref="S42">
    <cfRule type="expression" dxfId="61" priority="43">
      <formula>$G41=7</formula>
    </cfRule>
    <cfRule type="expression" dxfId="60" priority="44">
      <formula>$G41=1</formula>
    </cfRule>
  </conditionalFormatting>
  <conditionalFormatting sqref="S3:S6 S10:S24 S26 S28:S41">
    <cfRule type="expression" dxfId="59" priority="77">
      <formula>$G2=7</formula>
    </cfRule>
    <cfRule type="expression" dxfId="58" priority="78">
      <formula>$G2=1</formula>
    </cfRule>
  </conditionalFormatting>
  <conditionalFormatting sqref="R3:R6 R10:R13">
    <cfRule type="expression" dxfId="57" priority="75">
      <formula>$G2=7</formula>
    </cfRule>
    <cfRule type="expression" dxfId="56" priority="76">
      <formula>$G2=1</formula>
    </cfRule>
  </conditionalFormatting>
  <conditionalFormatting sqref="R14">
    <cfRule type="expression" dxfId="55" priority="73">
      <formula>$G13=7</formula>
    </cfRule>
    <cfRule type="expression" dxfId="54" priority="74">
      <formula>$G13=1</formula>
    </cfRule>
  </conditionalFormatting>
  <conditionalFormatting sqref="T8:T9">
    <cfRule type="expression" dxfId="53" priority="69">
      <formula>$G7=7</formula>
    </cfRule>
    <cfRule type="expression" dxfId="52" priority="70">
      <formula>$G7=1</formula>
    </cfRule>
  </conditionalFormatting>
  <conditionalFormatting sqref="T3:T6 T10:T24 T26 T28:T41">
    <cfRule type="expression" dxfId="51" priority="67">
      <formula>$G2=7</formula>
    </cfRule>
    <cfRule type="expression" dxfId="50" priority="68">
      <formula>$G2=1</formula>
    </cfRule>
  </conditionalFormatting>
  <conditionalFormatting sqref="T42">
    <cfRule type="expression" dxfId="49" priority="41">
      <formula>$G41=7</formula>
    </cfRule>
    <cfRule type="expression" dxfId="48" priority="42">
      <formula>$G41=1</formula>
    </cfRule>
  </conditionalFormatting>
  <conditionalFormatting sqref="R122:R144 R70:R114 R151:R172 R67:R68 R26:R65 Q27:Q35 T122">
    <cfRule type="expression" dxfId="47" priority="51">
      <formula>$G25=7</formula>
    </cfRule>
    <cfRule type="expression" dxfId="46" priority="52">
      <formula>$G25=1</formula>
    </cfRule>
  </conditionalFormatting>
  <conditionalFormatting sqref="R189:R235 S201:T203 R281:R331 S299:T300 R241:R275 Q271:Q275 S271:U275 R337:R352">
    <cfRule type="expression" dxfId="45" priority="49">
      <formula>$G188=7</formula>
    </cfRule>
    <cfRule type="expression" dxfId="44" priority="50">
      <formula>$G188=1</formula>
    </cfRule>
  </conditionalFormatting>
  <conditionalFormatting sqref="S43:T65 S70:T114 S123:T144 S151:T172 S67:T68">
    <cfRule type="expression" dxfId="43" priority="47">
      <formula>$G42=7</formula>
    </cfRule>
    <cfRule type="expression" dxfId="42" priority="48">
      <formula>$G42=1</formula>
    </cfRule>
  </conditionalFormatting>
  <conditionalFormatting sqref="S189:T200 S204:T235 S241:T270 S281:T298 S301:T331 S347:S399 T347:U356 S337:T346">
    <cfRule type="expression" dxfId="41" priority="45">
      <formula>$G188=7</formula>
    </cfRule>
    <cfRule type="expression" dxfId="40" priority="46">
      <formula>$G188=1</formula>
    </cfRule>
  </conditionalFormatting>
  <conditionalFormatting sqref="U8:U9">
    <cfRule type="expression" dxfId="39" priority="19">
      <formula>$G7=7</formula>
    </cfRule>
    <cfRule type="expression" dxfId="38" priority="20">
      <formula>$G7=1</formula>
    </cfRule>
  </conditionalFormatting>
  <conditionalFormatting sqref="Q25">
    <cfRule type="expression" dxfId="37" priority="31">
      <formula>$G24=7</formula>
    </cfRule>
    <cfRule type="expression" dxfId="36" priority="32">
      <formula>$G24=1</formula>
    </cfRule>
  </conditionalFormatting>
  <conditionalFormatting sqref="S25">
    <cfRule type="expression" dxfId="35" priority="29">
      <formula>$G24=7</formula>
    </cfRule>
    <cfRule type="expression" dxfId="34" priority="30">
      <formula>$G24=1</formula>
    </cfRule>
  </conditionalFormatting>
  <conditionalFormatting sqref="T25">
    <cfRule type="expression" dxfId="33" priority="27">
      <formula>$G24=7</formula>
    </cfRule>
    <cfRule type="expression" dxfId="32" priority="28">
      <formula>$G24=1</formula>
    </cfRule>
  </conditionalFormatting>
  <conditionalFormatting sqref="U25">
    <cfRule type="expression" dxfId="31" priority="5">
      <formula>$G24=7</formula>
    </cfRule>
    <cfRule type="expression" dxfId="30" priority="6">
      <formula>$G24=1</formula>
    </cfRule>
  </conditionalFormatting>
  <conditionalFormatting sqref="R8:S9 Q3:Q6 Q8:Q24 Q26 R15:R25">
    <cfRule type="expression" dxfId="29" priority="79">
      <formula>$G2=7</formula>
    </cfRule>
    <cfRule type="expression" dxfId="28" priority="80">
      <formula>$G2=1</formula>
    </cfRule>
  </conditionalFormatting>
  <conditionalFormatting sqref="Q7:S7">
    <cfRule type="expression" dxfId="27" priority="81">
      <formula>$G4=7</formula>
    </cfRule>
    <cfRule type="expression" dxfId="26" priority="82">
      <formula>$G4=1</formula>
    </cfRule>
  </conditionalFormatting>
  <conditionalFormatting sqref="T7">
    <cfRule type="expression" dxfId="25" priority="71">
      <formula>$G4=7</formula>
    </cfRule>
    <cfRule type="expression" dxfId="24" priority="72">
      <formula>$G4=1</formula>
    </cfRule>
  </conditionalFormatting>
  <conditionalFormatting sqref="S27">
    <cfRule type="expression" dxfId="23" priority="37">
      <formula>$G24=7</formula>
    </cfRule>
    <cfRule type="expression" dxfId="22" priority="38">
      <formula>$G24=1</formula>
    </cfRule>
  </conditionalFormatting>
  <conditionalFormatting sqref="T27">
    <cfRule type="expression" dxfId="21" priority="35">
      <formula>$G24=7</formula>
    </cfRule>
    <cfRule type="expression" dxfId="20" priority="36">
      <formula>$G24=1</formula>
    </cfRule>
  </conditionalFormatting>
  <conditionalFormatting sqref="U69 U145:U150 U173:U188 U236:U240 U276">
    <cfRule type="expression" dxfId="19" priority="23">
      <formula>$G68=7</formula>
    </cfRule>
    <cfRule type="expression" dxfId="18" priority="24">
      <formula>$G68=1</formula>
    </cfRule>
  </conditionalFormatting>
  <conditionalFormatting sqref="U3:U6 U10:U24 U26 U28:U41">
    <cfRule type="expression" dxfId="17" priority="17">
      <formula>$G2=7</formula>
    </cfRule>
    <cfRule type="expression" dxfId="16" priority="18">
      <formula>$G2=1</formula>
    </cfRule>
  </conditionalFormatting>
  <conditionalFormatting sqref="U201:U203 U299:U300">
    <cfRule type="expression" dxfId="15" priority="15">
      <formula>$G200=7</formula>
    </cfRule>
    <cfRule type="expression" dxfId="14" priority="16">
      <formula>$G200=1</formula>
    </cfRule>
  </conditionalFormatting>
  <conditionalFormatting sqref="U43:U65 U70:U114 U123:U144 U151:U172 U67:U68">
    <cfRule type="expression" dxfId="13" priority="13">
      <formula>$G42=7</formula>
    </cfRule>
    <cfRule type="expression" dxfId="12" priority="14">
      <formula>$G42=1</formula>
    </cfRule>
  </conditionalFormatting>
  <conditionalFormatting sqref="U189:U200 U204:U235 U241:U270 U281:U298 U301:U331 U337:U346">
    <cfRule type="expression" dxfId="11" priority="11">
      <formula>$G188=7</formula>
    </cfRule>
    <cfRule type="expression" dxfId="10" priority="12">
      <formula>$G188=1</formula>
    </cfRule>
  </conditionalFormatting>
  <conditionalFormatting sqref="U42">
    <cfRule type="expression" dxfId="9" priority="9">
      <formula>$G41=7</formula>
    </cfRule>
    <cfRule type="expression" dxfId="8" priority="10">
      <formula>$G41=1</formula>
    </cfRule>
  </conditionalFormatting>
  <conditionalFormatting sqref="U7">
    <cfRule type="expression" dxfId="7" priority="21">
      <formula>$G4=7</formula>
    </cfRule>
    <cfRule type="expression" dxfId="6" priority="22">
      <formula>$G4=1</formula>
    </cfRule>
  </conditionalFormatting>
  <conditionalFormatting sqref="U27">
    <cfRule type="expression" dxfId="5" priority="7">
      <formula>$G24=7</formula>
    </cfRule>
    <cfRule type="expression" dxfId="4" priority="8">
      <formula>$G24=1</formula>
    </cfRule>
  </conditionalFormatting>
  <conditionalFormatting sqref="Q66:T66">
    <cfRule type="expression" dxfId="3" priority="3">
      <formula>$G65=7</formula>
    </cfRule>
    <cfRule type="expression" dxfId="2" priority="4">
      <formula>$G65=1</formula>
    </cfRule>
  </conditionalFormatting>
  <conditionalFormatting sqref="U66">
    <cfRule type="expression" dxfId="1" priority="1">
      <formula>$G65=7</formula>
    </cfRule>
    <cfRule type="expression" dxfId="0" priority="2">
      <formula>$G65=1</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18</vt:i4>
      </vt:variant>
    </vt:vector>
  </HeadingPairs>
  <TitlesOfParts>
    <vt:vector size="21" baseType="lpstr">
      <vt:lpstr>Instructions</vt:lpstr>
      <vt:lpstr>Flex-Modified Calendar</vt:lpstr>
      <vt:lpstr>Sheet1</vt:lpstr>
      <vt:lpstr>AprOffSet</vt:lpstr>
      <vt:lpstr>AugOffSet</vt:lpstr>
      <vt:lpstr>beg</vt:lpstr>
      <vt:lpstr>BegCalYear</vt:lpstr>
      <vt:lpstr>DecOffSet</vt:lpstr>
      <vt:lpstr>EndCalYear</vt:lpstr>
      <vt:lpstr>FebOffSet</vt:lpstr>
      <vt:lpstr>JanOffSet</vt:lpstr>
      <vt:lpstr>July1OffSet</vt:lpstr>
      <vt:lpstr>JulyOffSet</vt:lpstr>
      <vt:lpstr>JuneOffSet</vt:lpstr>
      <vt:lpstr>MarOffSet</vt:lpstr>
      <vt:lpstr>MayOffSet</vt:lpstr>
      <vt:lpstr>NovOffSet</vt:lpstr>
      <vt:lpstr>OctOffSet</vt:lpstr>
      <vt:lpstr>'Flex-Modified Calendar'!Print_Area</vt:lpstr>
      <vt:lpstr>Instructions!Print_Area</vt:lpstr>
      <vt:lpstr>SeptOffSet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Brittany Bauer</dc:creator>
  <cp:lastModifiedBy>Brittany Bauer</cp:lastModifiedBy>
  <cp:lastPrinted>2023-05-01T16:01:28Z</cp:lastPrinted>
  <dcterms:created xsi:type="dcterms:W3CDTF">2018-08-20T15:33:39Z</dcterms:created>
  <dcterms:modified xsi:type="dcterms:W3CDTF">2024-03-27T15:36:02Z</dcterms:modified>
</cp:coreProperties>
</file>