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jsdshare\045\Feeder LEAD\1-LEAD\Calendars -  Licensed &amp; ESP\2024-25 Calendars\"/>
    </mc:Choice>
  </mc:AlternateContent>
  <xr:revisionPtr revIDLastSave="0" documentId="13_ncr:1_{2937DA11-37CD-4229-97D1-93453A3C30AF}" xr6:coauthVersionLast="36" xr6:coauthVersionMax="36" xr10:uidLastSave="{00000000-0000-0000-0000-000000000000}"/>
  <bookViews>
    <workbookView xWindow="-105" yWindow="-105" windowWidth="23265" windowHeight="12585" xr2:uid="{00000000-000D-0000-FFFF-FFFF00000000}"/>
  </bookViews>
  <sheets>
    <sheet name="Instructions" sheetId="4" r:id="rId1"/>
    <sheet name="Teacher A" sheetId="1" r:id="rId2"/>
    <sheet name="Teacher B" sheetId="2" r:id="rId3"/>
    <sheet name="Combined" sheetId="3" r:id="rId4"/>
    <sheet name="Calendars" sheetId="6" state="hidden" r:id="rId5"/>
  </sheets>
  <definedNames>
    <definedName name="AprOffSet">Calendars!$D$13</definedName>
    <definedName name="AugOffSet">Calendars!$D$5</definedName>
    <definedName name="BegCalYear">Calendars!$C$1</definedName>
    <definedName name="CalendarYear">Calendars!$C$2</definedName>
    <definedName name="Contract">'Teacher A'!$E$20:$G$20,'Teacher A'!$C$22:$G$22,'Teacher A'!$C$24:$G$24,'Teacher A'!$D$27:$G$27,'Teacher A'!$C$29:$G$29,'Teacher A'!$C$31:$G$31,'Teacher A'!$C$33:$G$33,'Teacher A'!$J$31:$N$31,'Teacher A'!$J$29:$N$29,'Teacher A'!$J$27:$N$27,'Teacher A'!$J$24:$N$24,'Teacher A'!$J$20:$N$20,'Teacher A'!$J$22:$K$22,'Teacher A'!$J$18:$M$18,'Teacher A'!$M$16:$N$16,'Teacher A'!$X$27:$Z$27,'Teacher A'!$Q$35:$U$35,'Teacher A'!$Q$33:$U$33,'Teacher A'!$Q$31:$U$31</definedName>
    <definedName name="DecOffSet">Calendars!$D$9</definedName>
    <definedName name="EndCalYear">Calendars!$C$2</definedName>
    <definedName name="FebOffSet">Calendars!$D$11</definedName>
    <definedName name="JanOffSet">Calendars!$D$10</definedName>
    <definedName name="July1OffSet">Calendars!$D$4</definedName>
    <definedName name="JulyOffSet">Calendars!$D$16</definedName>
    <definedName name="JuneOffSet">Calendars!$D$15</definedName>
    <definedName name="MarOffSet">Calendars!$D$12</definedName>
    <definedName name="MayOffSet">Calendars!$D$14</definedName>
    <definedName name="NovOffSet">Calendars!$D$8</definedName>
    <definedName name="OctOffSet">Calendars!$D$7</definedName>
    <definedName name="_xlnm.Print_Area" localSheetId="3">Combined!$A$1:$AC$55</definedName>
    <definedName name="_xlnm.Print_Area" localSheetId="1">'Teacher A'!$A$1:$AD$54</definedName>
    <definedName name="_xlnm.Print_Area" localSheetId="2">'Teacher B'!$A$1:$AD$54</definedName>
    <definedName name="SeptOffSet">Calendars!$D$6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3" l="1"/>
  <c r="U35" i="3"/>
  <c r="T35" i="3"/>
  <c r="S35" i="3"/>
  <c r="R35" i="3"/>
  <c r="Q35" i="3"/>
  <c r="U34" i="3"/>
  <c r="T34" i="3"/>
  <c r="S34" i="3"/>
  <c r="R34" i="3"/>
  <c r="Q34" i="3"/>
  <c r="U33" i="3"/>
  <c r="T33" i="3"/>
  <c r="S33" i="3"/>
  <c r="R33" i="3"/>
  <c r="Q33" i="3"/>
  <c r="U32" i="3"/>
  <c r="T32" i="3"/>
  <c r="S32" i="3"/>
  <c r="R32" i="3"/>
  <c r="Q32" i="3"/>
  <c r="U31" i="3"/>
  <c r="T31" i="3"/>
  <c r="S31" i="3"/>
  <c r="R31" i="3"/>
  <c r="Q31" i="3"/>
  <c r="U30" i="3"/>
  <c r="T30" i="3"/>
  <c r="S30" i="3"/>
  <c r="R30" i="3"/>
  <c r="Q30" i="3"/>
  <c r="U29" i="3"/>
  <c r="T29" i="3"/>
  <c r="S29" i="3"/>
  <c r="R29" i="3"/>
  <c r="Q29" i="3"/>
  <c r="U28" i="3"/>
  <c r="T28" i="3"/>
  <c r="S28" i="3"/>
  <c r="R28" i="3"/>
  <c r="Q28" i="3"/>
  <c r="Q36" i="2"/>
  <c r="U34" i="2"/>
  <c r="T34" i="2"/>
  <c r="S34" i="2"/>
  <c r="R34" i="2"/>
  <c r="Q34" i="2"/>
  <c r="U32" i="2"/>
  <c r="T32" i="2"/>
  <c r="S32" i="2"/>
  <c r="R32" i="2"/>
  <c r="Q32" i="2"/>
  <c r="U30" i="2"/>
  <c r="T30" i="2"/>
  <c r="S30" i="2"/>
  <c r="R30" i="2"/>
  <c r="Q30" i="2"/>
  <c r="U28" i="2"/>
  <c r="T28" i="2"/>
  <c r="S28" i="2"/>
  <c r="R28" i="2"/>
  <c r="Q28" i="2"/>
  <c r="Q36" i="1"/>
  <c r="U34" i="1"/>
  <c r="T34" i="1"/>
  <c r="S34" i="1"/>
  <c r="R34" i="1"/>
  <c r="Q34" i="1"/>
  <c r="U32" i="1"/>
  <c r="T32" i="1"/>
  <c r="S32" i="1"/>
  <c r="R32" i="1"/>
  <c r="Q32" i="1"/>
  <c r="U30" i="1"/>
  <c r="T30" i="1"/>
  <c r="S30" i="1"/>
  <c r="R30" i="1"/>
  <c r="Q30" i="1"/>
  <c r="U28" i="1"/>
  <c r="T28" i="1"/>
  <c r="S28" i="1"/>
  <c r="R28" i="1"/>
  <c r="Q28" i="1"/>
  <c r="C28" i="1"/>
  <c r="F1" i="6"/>
  <c r="AE3" i="6" l="1"/>
  <c r="AE4" i="6" s="1"/>
  <c r="AE5" i="6" s="1"/>
  <c r="AE6" i="6" s="1"/>
  <c r="AE7" i="6" s="1"/>
  <c r="AE8" i="6" s="1"/>
  <c r="AE9" i="6" s="1"/>
  <c r="AE10" i="6" s="1"/>
  <c r="AE11" i="6" s="1"/>
  <c r="AE12" i="6" s="1"/>
  <c r="AE13" i="6" s="1"/>
  <c r="AE14" i="6" s="1"/>
  <c r="AE15" i="6" s="1"/>
  <c r="AE16" i="6" s="1"/>
  <c r="AE17" i="6" s="1"/>
  <c r="AE18" i="6" s="1"/>
  <c r="AE19" i="6" s="1"/>
  <c r="AE20" i="6" s="1"/>
  <c r="AE21" i="6" s="1"/>
  <c r="AE22" i="6" s="1"/>
  <c r="AE23" i="6" s="1"/>
  <c r="AE24" i="6" s="1"/>
  <c r="AE25" i="6" s="1"/>
  <c r="AE26" i="6" s="1"/>
  <c r="AF3" i="6"/>
  <c r="AF4" i="6" s="1"/>
  <c r="AF5" i="6" s="1"/>
  <c r="AF6" i="6" s="1"/>
  <c r="AF7" i="6" s="1"/>
  <c r="AF8" i="6" s="1"/>
  <c r="AF9" i="6" s="1"/>
  <c r="AF10" i="6" s="1"/>
  <c r="AF11" i="6" s="1"/>
  <c r="AF12" i="6" s="1"/>
  <c r="AF13" i="6" s="1"/>
  <c r="AF14" i="6" s="1"/>
  <c r="AF15" i="6" s="1"/>
  <c r="AF16" i="6" s="1"/>
  <c r="AF17" i="6" s="1"/>
  <c r="AF18" i="6" s="1"/>
  <c r="AF19" i="6" s="1"/>
  <c r="AF20" i="6" s="1"/>
  <c r="AF21" i="6" s="1"/>
  <c r="AF22" i="6" s="1"/>
  <c r="AF23" i="6" s="1"/>
  <c r="AF24" i="6" s="1"/>
  <c r="AF25" i="6" s="1"/>
  <c r="AF26" i="6" s="1"/>
  <c r="AG3" i="6"/>
  <c r="AG4" i="6" s="1"/>
  <c r="AG5" i="6" s="1"/>
  <c r="AG6" i="6" s="1"/>
  <c r="AG7" i="6" s="1"/>
  <c r="AG8" i="6" s="1"/>
  <c r="AG9" i="6" s="1"/>
  <c r="AG10" i="6" s="1"/>
  <c r="AG11" i="6" s="1"/>
  <c r="AG12" i="6" s="1"/>
  <c r="AG13" i="6" s="1"/>
  <c r="AG14" i="6" s="1"/>
  <c r="AG15" i="6" s="1"/>
  <c r="AG16" i="6" s="1"/>
  <c r="AG17" i="6" s="1"/>
  <c r="AG18" i="6" s="1"/>
  <c r="AG19" i="6" s="1"/>
  <c r="AG20" i="6" s="1"/>
  <c r="AG21" i="6" s="1"/>
  <c r="AG22" i="6" s="1"/>
  <c r="AG23" i="6" s="1"/>
  <c r="AG24" i="6" s="1"/>
  <c r="AG25" i="6" s="1"/>
  <c r="AG26" i="6" s="1"/>
  <c r="AG27" i="6" s="1"/>
  <c r="AG28" i="6" s="1"/>
  <c r="AG29" i="6" s="1"/>
  <c r="AG30" i="6" s="1"/>
  <c r="AG31" i="6" s="1"/>
  <c r="AG32" i="6" s="1"/>
  <c r="AG33" i="6" s="1"/>
  <c r="AG34" i="6" s="1"/>
  <c r="AG35" i="6" s="1"/>
  <c r="AG36" i="6" s="1"/>
  <c r="AG37" i="6" s="1"/>
  <c r="AG38" i="6" s="1"/>
  <c r="AG39" i="6" s="1"/>
  <c r="AG40" i="6" s="1"/>
  <c r="AG41" i="6" s="1"/>
  <c r="AG42" i="6" s="1"/>
  <c r="AG43" i="6" s="1"/>
  <c r="AG44" i="6" s="1"/>
  <c r="AH3" i="6"/>
  <c r="AH4" i="6" s="1"/>
  <c r="AH5" i="6" s="1"/>
  <c r="AH6" i="6" s="1"/>
  <c r="AH7" i="6" s="1"/>
  <c r="AH8" i="6" s="1"/>
  <c r="AH9" i="6" s="1"/>
  <c r="AH10" i="6" s="1"/>
  <c r="AH11" i="6" s="1"/>
  <c r="AH12" i="6" s="1"/>
  <c r="AH13" i="6" s="1"/>
  <c r="AH14" i="6" s="1"/>
  <c r="AH15" i="6" s="1"/>
  <c r="AH16" i="6" s="1"/>
  <c r="AH17" i="6" s="1"/>
  <c r="AH18" i="6" s="1"/>
  <c r="AH19" i="6" s="1"/>
  <c r="AH20" i="6" s="1"/>
  <c r="AH21" i="6" s="1"/>
  <c r="AH22" i="6" s="1"/>
  <c r="AH23" i="6" s="1"/>
  <c r="AH24" i="6" s="1"/>
  <c r="AH25" i="6" s="1"/>
  <c r="AH26" i="6" s="1"/>
  <c r="AH27" i="6" s="1"/>
  <c r="AH28" i="6" s="1"/>
  <c r="AH29" i="6" s="1"/>
  <c r="AH30" i="6" s="1"/>
  <c r="AH31" i="6" s="1"/>
  <c r="AH32" i="6" s="1"/>
  <c r="AH33" i="6" s="1"/>
  <c r="AH34" i="6" s="1"/>
  <c r="AH35" i="6" s="1"/>
  <c r="AH36" i="6" s="1"/>
  <c r="AH37" i="6" s="1"/>
  <c r="AH38" i="6" s="1"/>
  <c r="AH39" i="6" s="1"/>
  <c r="AH40" i="6" s="1"/>
  <c r="AH41" i="6" s="1"/>
  <c r="AH42" i="6" s="1"/>
  <c r="AH43" i="6" s="1"/>
  <c r="AH44" i="6" s="1"/>
  <c r="AI3" i="6"/>
  <c r="AI4" i="6" s="1"/>
  <c r="AI5" i="6" s="1"/>
  <c r="AI6" i="6" s="1"/>
  <c r="AI7" i="6" s="1"/>
  <c r="AI8" i="6" s="1"/>
  <c r="AI9" i="6" s="1"/>
  <c r="AI10" i="6" s="1"/>
  <c r="AI11" i="6" s="1"/>
  <c r="AI12" i="6" s="1"/>
  <c r="AI13" i="6" s="1"/>
  <c r="AI14" i="6" s="1"/>
  <c r="AI15" i="6" s="1"/>
  <c r="AI16" i="6" s="1"/>
  <c r="AI17" i="6" s="1"/>
  <c r="AI18" i="6" s="1"/>
  <c r="AI19" i="6" s="1"/>
  <c r="AI20" i="6" s="1"/>
  <c r="AI21" i="6" s="1"/>
  <c r="AI22" i="6" s="1"/>
  <c r="AI23" i="6" s="1"/>
  <c r="AI24" i="6" s="1"/>
  <c r="AI25" i="6" s="1"/>
  <c r="AI26" i="6" s="1"/>
  <c r="AI27" i="6" s="1"/>
  <c r="AI28" i="6" s="1"/>
  <c r="AI29" i="6" s="1"/>
  <c r="AI30" i="6" s="1"/>
  <c r="AI31" i="6" s="1"/>
  <c r="AI32" i="6" s="1"/>
  <c r="AI33" i="6" s="1"/>
  <c r="AI34" i="6" s="1"/>
  <c r="AI35" i="6" s="1"/>
  <c r="AI36" i="6" s="1"/>
  <c r="AI37" i="6" s="1"/>
  <c r="AI38" i="6" s="1"/>
  <c r="AI39" i="6" s="1"/>
  <c r="AI40" i="6" s="1"/>
  <c r="AI41" i="6" s="1"/>
  <c r="AI42" i="6" s="1"/>
  <c r="AI43" i="6" s="1"/>
  <c r="AI44" i="6" s="1"/>
  <c r="O14" i="2" l="1"/>
  <c r="O25" i="2"/>
  <c r="O36" i="2"/>
  <c r="H36" i="1"/>
  <c r="H25" i="1"/>
  <c r="X1" i="2" l="1"/>
  <c r="P399" i="6" l="1"/>
  <c r="H10" i="6"/>
  <c r="G10" i="6"/>
  <c r="AD3" i="6" l="1"/>
  <c r="AD4" i="6" s="1"/>
  <c r="AD5" i="6" s="1"/>
  <c r="AD6" i="6" s="1"/>
  <c r="AD7" i="6" s="1"/>
  <c r="AD8" i="6" s="1"/>
  <c r="AD9" i="6" s="1"/>
  <c r="AD10" i="6" s="1"/>
  <c r="AD11" i="6" s="1"/>
  <c r="AD12" i="6" s="1"/>
  <c r="AD13" i="6" s="1"/>
  <c r="AD14" i="6" s="1"/>
  <c r="AD15" i="6" s="1"/>
  <c r="AD16" i="6" s="1"/>
  <c r="AD17" i="6" s="1"/>
  <c r="AD18" i="6" s="1"/>
  <c r="AD19" i="6" s="1"/>
  <c r="AD20" i="6" s="1"/>
  <c r="AD21" i="6" s="1"/>
  <c r="AD22" i="6" s="1"/>
  <c r="AD23" i="6" s="1"/>
  <c r="AD24" i="6" s="1"/>
  <c r="AD25" i="6" s="1"/>
  <c r="AD26" i="6" s="1"/>
  <c r="AD27" i="6" s="1"/>
  <c r="AD28" i="6" s="1"/>
  <c r="AD29" i="6" s="1"/>
  <c r="AD30" i="6" s="1"/>
  <c r="AD31" i="6" s="1"/>
  <c r="AD32" i="6" s="1"/>
  <c r="AD33" i="6" s="1"/>
  <c r="AD34" i="6" s="1"/>
  <c r="AD35" i="6" s="1"/>
  <c r="AD36" i="6" s="1"/>
  <c r="AD37" i="6" s="1"/>
  <c r="AD38" i="6" s="1"/>
  <c r="AD39" i="6" s="1"/>
  <c r="AD40" i="6" s="1"/>
  <c r="AD41" i="6" s="1"/>
  <c r="AD42" i="6" s="1"/>
  <c r="AD43" i="6" s="1"/>
  <c r="AD44" i="6" s="1"/>
  <c r="AD45" i="6" s="1"/>
  <c r="AD46" i="6" s="1"/>
  <c r="AD47" i="6" s="1"/>
  <c r="AD48" i="6" s="1"/>
  <c r="AD49" i="6" s="1"/>
  <c r="AD50" i="6" s="1"/>
  <c r="AD51" i="6" s="1"/>
  <c r="AD52" i="6" s="1"/>
  <c r="AD53" i="6" s="1"/>
  <c r="AD54" i="6" s="1"/>
  <c r="AD55" i="6" s="1"/>
  <c r="AD56" i="6" s="1"/>
  <c r="AD57" i="6" s="1"/>
  <c r="AD58" i="6" s="1"/>
  <c r="AD59" i="6" s="1"/>
  <c r="AD60" i="6" s="1"/>
  <c r="AD61" i="6" s="1"/>
  <c r="AD62" i="6" s="1"/>
  <c r="AD63" i="6" s="1"/>
  <c r="AD64" i="6" s="1"/>
  <c r="AD65" i="6" s="1"/>
  <c r="AD66" i="6" s="1"/>
  <c r="AD67" i="6" s="1"/>
  <c r="AD68" i="6" s="1"/>
  <c r="AD69" i="6" s="1"/>
  <c r="AD70" i="6" s="1"/>
  <c r="AD71" i="6" s="1"/>
  <c r="AD72" i="6" s="1"/>
  <c r="AD73" i="6" s="1"/>
  <c r="AD74" i="6" s="1"/>
  <c r="AD75" i="6" s="1"/>
  <c r="AD76" i="6" s="1"/>
  <c r="AD77" i="6" s="1"/>
  <c r="AD78" i="6" s="1"/>
  <c r="AD79" i="6" s="1"/>
  <c r="AD80" i="6" s="1"/>
  <c r="AD81" i="6" s="1"/>
  <c r="AD82" i="6" s="1"/>
  <c r="AD83" i="6" s="1"/>
  <c r="AD84" i="6" s="1"/>
  <c r="AD85" i="6" s="1"/>
  <c r="AD86" i="6" s="1"/>
  <c r="AD87" i="6" s="1"/>
  <c r="AD88" i="6" s="1"/>
  <c r="AD89" i="6" s="1"/>
  <c r="AD90" i="6" s="1"/>
  <c r="AD91" i="6" s="1"/>
  <c r="AD92" i="6" s="1"/>
  <c r="AD93" i="6" s="1"/>
  <c r="AD94" i="6" s="1"/>
  <c r="AD95" i="6" s="1"/>
  <c r="AD96" i="6" s="1"/>
  <c r="AD97" i="6" s="1"/>
  <c r="AD98" i="6" s="1"/>
  <c r="AD99" i="6" s="1"/>
  <c r="AD100" i="6" s="1"/>
  <c r="AD101" i="6" s="1"/>
  <c r="AD102" i="6" s="1"/>
  <c r="AD103" i="6" s="1"/>
  <c r="AD104" i="6" s="1"/>
  <c r="AD105" i="6" s="1"/>
  <c r="AD106" i="6" s="1"/>
  <c r="AD107" i="6" s="1"/>
  <c r="AD108" i="6" s="1"/>
  <c r="AD109" i="6" s="1"/>
  <c r="AD110" i="6" s="1"/>
  <c r="AD111" i="6" s="1"/>
  <c r="AD112" i="6" s="1"/>
  <c r="AD113" i="6" s="1"/>
  <c r="AD114" i="6" s="1"/>
  <c r="AD115" i="6" s="1"/>
  <c r="AD116" i="6" s="1"/>
  <c r="AD117" i="6" s="1"/>
  <c r="AD118" i="6" s="1"/>
  <c r="AD119" i="6" s="1"/>
  <c r="AD120" i="6" s="1"/>
  <c r="AD121" i="6" s="1"/>
  <c r="AD122" i="6" s="1"/>
  <c r="AD123" i="6" s="1"/>
  <c r="AD124" i="6" s="1"/>
  <c r="AD125" i="6" s="1"/>
  <c r="AD126" i="6" s="1"/>
  <c r="AD127" i="6" s="1"/>
  <c r="AD128" i="6" s="1"/>
  <c r="AD129" i="6" s="1"/>
  <c r="AD130" i="6" s="1"/>
  <c r="AD131" i="6" s="1"/>
  <c r="AD132" i="6" s="1"/>
  <c r="AD133" i="6" s="1"/>
  <c r="AD134" i="6" s="1"/>
  <c r="AD135" i="6" s="1"/>
  <c r="AD136" i="6" s="1"/>
  <c r="AD137" i="6" s="1"/>
  <c r="AD138" i="6" s="1"/>
  <c r="AD139" i="6" s="1"/>
  <c r="AD140" i="6" s="1"/>
  <c r="AD141" i="6" s="1"/>
  <c r="AD142" i="6" s="1"/>
  <c r="AD143" i="6" s="1"/>
  <c r="AD144" i="6" s="1"/>
  <c r="AD145" i="6" s="1"/>
  <c r="AD146" i="6" s="1"/>
  <c r="AD147" i="6" s="1"/>
  <c r="AD148" i="6" s="1"/>
  <c r="AD149" i="6" s="1"/>
  <c r="AD150" i="6" s="1"/>
  <c r="AD151" i="6" s="1"/>
  <c r="AD152" i="6" s="1"/>
  <c r="AD153" i="6" s="1"/>
  <c r="AD154" i="6" s="1"/>
  <c r="AD155" i="6" s="1"/>
  <c r="AD156" i="6" s="1"/>
  <c r="AD157" i="6" s="1"/>
  <c r="AD158" i="6" s="1"/>
  <c r="AD159" i="6" s="1"/>
  <c r="AD160" i="6" s="1"/>
  <c r="AD161" i="6" s="1"/>
  <c r="AD162" i="6" s="1"/>
  <c r="AD163" i="6" s="1"/>
  <c r="AD164" i="6" s="1"/>
  <c r="AD165" i="6" s="1"/>
  <c r="AD166" i="6" s="1"/>
  <c r="AD167" i="6" s="1"/>
  <c r="AD168" i="6" s="1"/>
  <c r="AD169" i="6" s="1"/>
  <c r="AD170" i="6" s="1"/>
  <c r="AD171" i="6" s="1"/>
  <c r="AD172" i="6" s="1"/>
  <c r="AD173" i="6" s="1"/>
  <c r="AD174" i="6" s="1"/>
  <c r="AD175" i="6" s="1"/>
  <c r="AD176" i="6" s="1"/>
  <c r="AD177" i="6" s="1"/>
  <c r="AD178" i="6" s="1"/>
  <c r="AD179" i="6" s="1"/>
  <c r="AD180" i="6" s="1"/>
  <c r="AD181" i="6" s="1"/>
  <c r="AD182" i="6" s="1"/>
  <c r="AD183" i="6" s="1"/>
  <c r="AD184" i="6" s="1"/>
  <c r="AD185" i="6" s="1"/>
  <c r="AD186" i="6" s="1"/>
  <c r="AD187" i="6" s="1"/>
  <c r="AD188" i="6" s="1"/>
  <c r="AD189" i="6" s="1"/>
  <c r="AD190" i="6" s="1"/>
  <c r="AD191" i="6" s="1"/>
  <c r="AD192" i="6" s="1"/>
  <c r="AD193" i="6" s="1"/>
  <c r="AD194" i="6" s="1"/>
  <c r="AD195" i="6" s="1"/>
  <c r="AD196" i="6" s="1"/>
  <c r="AD197" i="6" s="1"/>
  <c r="AD198" i="6" s="1"/>
  <c r="AD199" i="6" s="1"/>
  <c r="AD200" i="6" s="1"/>
  <c r="AD201" i="6" s="1"/>
  <c r="AD202" i="6" s="1"/>
  <c r="AD203" i="6" s="1"/>
  <c r="AD204" i="6" s="1"/>
  <c r="AD205" i="6" s="1"/>
  <c r="AD206" i="6" s="1"/>
  <c r="AD207" i="6" s="1"/>
  <c r="AD208" i="6" s="1"/>
  <c r="AD209" i="6" s="1"/>
  <c r="AD210" i="6" s="1"/>
  <c r="AD211" i="6" s="1"/>
  <c r="AD212" i="6" s="1"/>
  <c r="AD213" i="6" s="1"/>
  <c r="AD214" i="6" s="1"/>
  <c r="AD215" i="6" s="1"/>
  <c r="AD216" i="6" s="1"/>
  <c r="AD217" i="6" s="1"/>
  <c r="AD218" i="6" s="1"/>
  <c r="AD219" i="6" s="1"/>
  <c r="AD220" i="6" s="1"/>
  <c r="AD221" i="6" s="1"/>
  <c r="AD222" i="6" s="1"/>
  <c r="AD223" i="6" s="1"/>
  <c r="AD224" i="6" s="1"/>
  <c r="AD225" i="6" s="1"/>
  <c r="AD226" i="6" s="1"/>
  <c r="AD227" i="6" s="1"/>
  <c r="AD228" i="6" s="1"/>
  <c r="AD229" i="6" s="1"/>
  <c r="AD230" i="6" s="1"/>
  <c r="AD231" i="6" s="1"/>
  <c r="AD232" i="6" s="1"/>
  <c r="AD233" i="6" s="1"/>
  <c r="AD234" i="6" s="1"/>
  <c r="AD235" i="6" s="1"/>
  <c r="AD236" i="6" s="1"/>
  <c r="AD237" i="6" s="1"/>
  <c r="AD238" i="6" s="1"/>
  <c r="AD239" i="6" s="1"/>
  <c r="AD240" i="6" s="1"/>
  <c r="AD241" i="6" s="1"/>
  <c r="AD242" i="6" s="1"/>
  <c r="AD243" i="6" s="1"/>
  <c r="AD244" i="6" s="1"/>
  <c r="AD245" i="6" s="1"/>
  <c r="AD246" i="6" s="1"/>
  <c r="AD247" i="6" s="1"/>
  <c r="AD248" i="6" s="1"/>
  <c r="AD249" i="6" s="1"/>
  <c r="AD250" i="6" s="1"/>
  <c r="AD251" i="6" s="1"/>
  <c r="AD252" i="6" s="1"/>
  <c r="AD253" i="6" s="1"/>
  <c r="AD254" i="6" s="1"/>
  <c r="AD255" i="6" s="1"/>
  <c r="AD256" i="6" s="1"/>
  <c r="AD257" i="6" s="1"/>
  <c r="AD258" i="6" s="1"/>
  <c r="AD259" i="6" s="1"/>
  <c r="AD260" i="6" s="1"/>
  <c r="AD261" i="6" s="1"/>
  <c r="AD262" i="6" s="1"/>
  <c r="AD263" i="6" s="1"/>
  <c r="AD264" i="6" s="1"/>
  <c r="AD265" i="6" s="1"/>
  <c r="AD266" i="6" s="1"/>
  <c r="AD267" i="6" s="1"/>
  <c r="AD268" i="6" s="1"/>
  <c r="AD269" i="6" s="1"/>
  <c r="AD270" i="6" s="1"/>
  <c r="AD271" i="6" s="1"/>
  <c r="AD272" i="6" s="1"/>
  <c r="AD273" i="6" s="1"/>
  <c r="AD274" i="6" s="1"/>
  <c r="AD275" i="6" s="1"/>
  <c r="AD276" i="6" s="1"/>
  <c r="AD277" i="6" s="1"/>
  <c r="AD278" i="6" s="1"/>
  <c r="AD279" i="6" s="1"/>
  <c r="AD280" i="6" s="1"/>
  <c r="AD281" i="6" s="1"/>
  <c r="AD282" i="6" s="1"/>
  <c r="AD283" i="6" s="1"/>
  <c r="AD284" i="6" s="1"/>
  <c r="AD285" i="6" s="1"/>
  <c r="AD286" i="6" s="1"/>
  <c r="AD287" i="6" s="1"/>
  <c r="AD288" i="6" s="1"/>
  <c r="AD289" i="6" s="1"/>
  <c r="AD290" i="6" s="1"/>
  <c r="AD291" i="6" s="1"/>
  <c r="AD292" i="6" s="1"/>
  <c r="AD293" i="6" s="1"/>
  <c r="AD294" i="6" s="1"/>
  <c r="AD295" i="6" s="1"/>
  <c r="AD296" i="6" s="1"/>
  <c r="AD297" i="6" s="1"/>
  <c r="AD298" i="6" s="1"/>
  <c r="AD299" i="6" s="1"/>
  <c r="AD300" i="6" s="1"/>
  <c r="AD301" i="6" s="1"/>
  <c r="AD302" i="6" s="1"/>
  <c r="AD303" i="6" s="1"/>
  <c r="AD304" i="6" s="1"/>
  <c r="AD305" i="6" s="1"/>
  <c r="AD306" i="6" s="1"/>
  <c r="AD307" i="6" s="1"/>
  <c r="AD308" i="6" s="1"/>
  <c r="AD309" i="6" s="1"/>
  <c r="AD310" i="6" s="1"/>
  <c r="AD311" i="6" s="1"/>
  <c r="AD312" i="6" s="1"/>
  <c r="AD313" i="6" s="1"/>
  <c r="AD314" i="6" s="1"/>
  <c r="AD315" i="6" s="1"/>
  <c r="AD316" i="6" s="1"/>
  <c r="AD317" i="6" s="1"/>
  <c r="AD318" i="6" s="1"/>
  <c r="AD319" i="6" s="1"/>
  <c r="AD320" i="6" s="1"/>
  <c r="AD321" i="6" s="1"/>
  <c r="AD322" i="6" s="1"/>
  <c r="AD323" i="6" s="1"/>
  <c r="AD324" i="6" s="1"/>
  <c r="AD325" i="6" s="1"/>
  <c r="AD326" i="6" s="1"/>
  <c r="AD327" i="6" s="1"/>
  <c r="AD328" i="6" s="1"/>
  <c r="AD329" i="6" s="1"/>
  <c r="AD330" i="6" s="1"/>
  <c r="AD331" i="6" s="1"/>
  <c r="AD332" i="6" s="1"/>
  <c r="AD333" i="6" s="1"/>
  <c r="AD334" i="6" s="1"/>
  <c r="AD335" i="6" s="1"/>
  <c r="AD336" i="6" s="1"/>
  <c r="AD337" i="6" s="1"/>
  <c r="AD338" i="6" s="1"/>
  <c r="AD339" i="6" s="1"/>
  <c r="AD340" i="6" s="1"/>
  <c r="AD341" i="6" s="1"/>
  <c r="AD342" i="6" s="1"/>
  <c r="AD343" i="6" s="1"/>
  <c r="AD344" i="6" s="1"/>
  <c r="AD345" i="6" s="1"/>
  <c r="AD346" i="6" s="1"/>
  <c r="AD347" i="6" s="1"/>
  <c r="AD348" i="6" s="1"/>
  <c r="AD349" i="6" s="1"/>
  <c r="AD350" i="6" s="1"/>
  <c r="AD351" i="6" s="1"/>
  <c r="AD352" i="6" s="1"/>
  <c r="AD353" i="6" s="1"/>
  <c r="AD354" i="6" s="1"/>
  <c r="AD355" i="6" s="1"/>
  <c r="AD356" i="6" s="1"/>
  <c r="AD357" i="6" s="1"/>
  <c r="AD358" i="6" s="1"/>
  <c r="AD359" i="6" s="1"/>
  <c r="AD360" i="6" s="1"/>
  <c r="AD361" i="6" s="1"/>
  <c r="AD362" i="6" s="1"/>
  <c r="AD363" i="6" s="1"/>
  <c r="AD364" i="6" s="1"/>
  <c r="AD365" i="6" s="1"/>
  <c r="AD366" i="6" s="1"/>
  <c r="AD367" i="6" s="1"/>
  <c r="AD368" i="6" s="1"/>
  <c r="AD369" i="6" s="1"/>
  <c r="AD370" i="6" s="1"/>
  <c r="AD371" i="6" s="1"/>
  <c r="AD372" i="6" s="1"/>
  <c r="AD373" i="6" s="1"/>
  <c r="AD374" i="6" s="1"/>
  <c r="AD375" i="6" s="1"/>
  <c r="AD376" i="6" s="1"/>
  <c r="AD377" i="6" s="1"/>
  <c r="AD378" i="6" s="1"/>
  <c r="AD379" i="6" s="1"/>
  <c r="AD380" i="6" s="1"/>
  <c r="AD381" i="6" s="1"/>
  <c r="AD382" i="6" s="1"/>
  <c r="AD383" i="6" s="1"/>
  <c r="AD384" i="6" s="1"/>
  <c r="AD385" i="6" s="1"/>
  <c r="AD386" i="6" s="1"/>
  <c r="AD387" i="6" s="1"/>
  <c r="AD388" i="6" s="1"/>
  <c r="AD389" i="6" s="1"/>
  <c r="AD390" i="6" s="1"/>
  <c r="AD391" i="6" s="1"/>
  <c r="AD392" i="6" s="1"/>
  <c r="AD393" i="6" s="1"/>
  <c r="AD394" i="6" s="1"/>
  <c r="AD395" i="6" s="1"/>
  <c r="AD396" i="6" s="1"/>
  <c r="AD397" i="6" s="1"/>
  <c r="AD398" i="6" s="1"/>
  <c r="V3" i="6"/>
  <c r="D6" i="6"/>
  <c r="D13" i="6"/>
  <c r="D11" i="6"/>
  <c r="D15" i="6"/>
  <c r="D10" i="6"/>
  <c r="D12" i="6"/>
  <c r="D16" i="6"/>
  <c r="D14" i="6"/>
  <c r="D7" i="6"/>
  <c r="D5" i="6"/>
  <c r="D9" i="6"/>
  <c r="D4" i="6"/>
  <c r="D8" i="6"/>
  <c r="O3" i="6"/>
  <c r="Q6" i="1" l="1"/>
  <c r="W3" i="6"/>
  <c r="V4" i="6"/>
  <c r="C6" i="1"/>
  <c r="O4" i="6"/>
  <c r="P3" i="6"/>
  <c r="V5" i="6" l="1"/>
  <c r="W4" i="6"/>
  <c r="P4" i="6"/>
  <c r="O5" i="6"/>
  <c r="V6" i="6" l="1"/>
  <c r="W5" i="6"/>
  <c r="P5" i="6"/>
  <c r="O6" i="6"/>
  <c r="W6" i="6" l="1"/>
  <c r="V7" i="6"/>
  <c r="O7" i="6"/>
  <c r="P6" i="6"/>
  <c r="V8" i="6" l="1"/>
  <c r="W7" i="6"/>
  <c r="O8" i="6"/>
  <c r="P7" i="6"/>
  <c r="W8" i="6" l="1"/>
  <c r="V9" i="6"/>
  <c r="P8" i="6"/>
  <c r="O9" i="6"/>
  <c r="V10" i="6" l="1"/>
  <c r="W9" i="6"/>
  <c r="O10" i="6"/>
  <c r="P9" i="6"/>
  <c r="V11" i="6" l="1"/>
  <c r="W10" i="6"/>
  <c r="P10" i="6"/>
  <c r="O11" i="6"/>
  <c r="V12" i="6" l="1"/>
  <c r="W11" i="6"/>
  <c r="P11" i="6"/>
  <c r="O12" i="6"/>
  <c r="V13" i="6" l="1"/>
  <c r="W12" i="6"/>
  <c r="O13" i="6"/>
  <c r="P12" i="6"/>
  <c r="V14" i="6" l="1"/>
  <c r="W13" i="6"/>
  <c r="O14" i="6"/>
  <c r="P13" i="6"/>
  <c r="V15" i="6" l="1"/>
  <c r="W14" i="6"/>
  <c r="P14" i="6"/>
  <c r="O15" i="6"/>
  <c r="V16" i="6" l="1"/>
  <c r="W15" i="6"/>
  <c r="O16" i="6"/>
  <c r="P15" i="6"/>
  <c r="V17" i="6" l="1"/>
  <c r="W16" i="6"/>
  <c r="P16" i="6"/>
  <c r="O17" i="6"/>
  <c r="V18" i="6" l="1"/>
  <c r="W17" i="6"/>
  <c r="O18" i="6"/>
  <c r="P17" i="6"/>
  <c r="V19" i="6" l="1"/>
  <c r="W18" i="6"/>
  <c r="P18" i="6"/>
  <c r="O19" i="6"/>
  <c r="V20" i="6" l="1"/>
  <c r="W19" i="6"/>
  <c r="O20" i="6"/>
  <c r="P19" i="6"/>
  <c r="V21" i="6" l="1"/>
  <c r="W20" i="6"/>
  <c r="O21" i="6"/>
  <c r="P20" i="6"/>
  <c r="V22" i="6" l="1"/>
  <c r="W21" i="6"/>
  <c r="O22" i="6"/>
  <c r="P21" i="6"/>
  <c r="V23" i="6" l="1"/>
  <c r="W22" i="6"/>
  <c r="P22" i="6"/>
  <c r="O23" i="6"/>
  <c r="V24" i="6" l="1"/>
  <c r="W23" i="6"/>
  <c r="O24" i="6"/>
  <c r="P23" i="6"/>
  <c r="V25" i="6" l="1"/>
  <c r="W24" i="6"/>
  <c r="O25" i="6"/>
  <c r="P24" i="6"/>
  <c r="V26" i="6" l="1"/>
  <c r="W25" i="6"/>
  <c r="O26" i="6"/>
  <c r="P25" i="6"/>
  <c r="V27" i="6" l="1"/>
  <c r="W26" i="6"/>
  <c r="O27" i="6"/>
  <c r="P26" i="6"/>
  <c r="V28" i="6" l="1"/>
  <c r="W27" i="6"/>
  <c r="P27" i="6"/>
  <c r="O28" i="6"/>
  <c r="R27" i="6" l="1"/>
  <c r="Q27" i="6"/>
  <c r="V29" i="6"/>
  <c r="W28" i="6"/>
  <c r="P28" i="6"/>
  <c r="O29" i="6"/>
  <c r="R28" i="6" l="1"/>
  <c r="Q28" i="6"/>
  <c r="AE27" i="6"/>
  <c r="AE28" i="6" s="1"/>
  <c r="AF27" i="6"/>
  <c r="AF28" i="6" s="1"/>
  <c r="V30" i="6"/>
  <c r="W29" i="6"/>
  <c r="O30" i="6"/>
  <c r="P29" i="6"/>
  <c r="R29" i="6" l="1"/>
  <c r="Q29" i="6"/>
  <c r="V31" i="6"/>
  <c r="W30" i="6"/>
  <c r="O31" i="6"/>
  <c r="P30" i="6"/>
  <c r="Q30" i="6" l="1"/>
  <c r="R30" i="6"/>
  <c r="AF29" i="6"/>
  <c r="AF30" i="6" s="1"/>
  <c r="AE29" i="6"/>
  <c r="V32" i="6"/>
  <c r="W31" i="6"/>
  <c r="P31" i="6"/>
  <c r="O32" i="6"/>
  <c r="AE30" i="6" l="1"/>
  <c r="AE31" i="6" s="1"/>
  <c r="R31" i="6"/>
  <c r="Q31" i="6"/>
  <c r="V33" i="6"/>
  <c r="W32" i="6"/>
  <c r="P32" i="6"/>
  <c r="O33" i="6"/>
  <c r="R32" i="6" l="1"/>
  <c r="Q32" i="6"/>
  <c r="AF31" i="6"/>
  <c r="AE32" i="6"/>
  <c r="V34" i="6"/>
  <c r="W33" i="6"/>
  <c r="O34" i="6"/>
  <c r="P33" i="6"/>
  <c r="AE33" i="6" l="1"/>
  <c r="R33" i="6"/>
  <c r="Q33" i="6"/>
  <c r="AF32" i="6"/>
  <c r="AF33" i="6" s="1"/>
  <c r="V35" i="6"/>
  <c r="W34" i="6"/>
  <c r="O35" i="6"/>
  <c r="P34" i="6"/>
  <c r="R34" i="6" l="1"/>
  <c r="AF34" i="6" s="1"/>
  <c r="Q34" i="6"/>
  <c r="AE34" i="6"/>
  <c r="V36" i="6"/>
  <c r="W35" i="6"/>
  <c r="P35" i="6"/>
  <c r="O36" i="6"/>
  <c r="AF35" i="6" l="1"/>
  <c r="R35" i="6"/>
  <c r="Q35" i="6"/>
  <c r="AE35" i="6" s="1"/>
  <c r="V37" i="6"/>
  <c r="W36" i="6"/>
  <c r="P36" i="6"/>
  <c r="O37" i="6"/>
  <c r="R36" i="6" l="1"/>
  <c r="AF36" i="6" s="1"/>
  <c r="Q36" i="6"/>
  <c r="AE36" i="6"/>
  <c r="V38" i="6"/>
  <c r="W37" i="6"/>
  <c r="P37" i="6"/>
  <c r="O38" i="6"/>
  <c r="AF37" i="6" l="1"/>
  <c r="R37" i="6"/>
  <c r="Q37" i="6"/>
  <c r="AE37" i="6" s="1"/>
  <c r="V39" i="6"/>
  <c r="W38" i="6"/>
  <c r="P38" i="6"/>
  <c r="O39" i="6"/>
  <c r="R38" i="6" l="1"/>
  <c r="AF38" i="6" s="1"/>
  <c r="Q38" i="6"/>
  <c r="AE38" i="6" s="1"/>
  <c r="V40" i="6"/>
  <c r="W39" i="6"/>
  <c r="P39" i="6"/>
  <c r="O40" i="6"/>
  <c r="R39" i="6" l="1"/>
  <c r="AF39" i="6" s="1"/>
  <c r="Q39" i="6"/>
  <c r="AE39" i="6" s="1"/>
  <c r="V41" i="6"/>
  <c r="W40" i="6"/>
  <c r="P40" i="6"/>
  <c r="O41" i="6"/>
  <c r="R40" i="6" l="1"/>
  <c r="AF40" i="6" s="1"/>
  <c r="Q40" i="6"/>
  <c r="AE40" i="6" s="1"/>
  <c r="V42" i="6"/>
  <c r="W41" i="6"/>
  <c r="P41" i="6"/>
  <c r="O42" i="6"/>
  <c r="R41" i="6" l="1"/>
  <c r="AF41" i="6" s="1"/>
  <c r="Q41" i="6"/>
  <c r="AE41" i="6" s="1"/>
  <c r="V43" i="6"/>
  <c r="W42" i="6"/>
  <c r="P42" i="6"/>
  <c r="O43" i="6"/>
  <c r="R42" i="6" l="1"/>
  <c r="AF42" i="6" s="1"/>
  <c r="Q42" i="6"/>
  <c r="AE42" i="6" s="1"/>
  <c r="V44" i="6"/>
  <c r="W43" i="6"/>
  <c r="O44" i="6"/>
  <c r="P43" i="6"/>
  <c r="R43" i="6" l="1"/>
  <c r="AF43" i="6" s="1"/>
  <c r="Q43" i="6"/>
  <c r="AE43" i="6" s="1"/>
  <c r="V45" i="6"/>
  <c r="W44" i="6"/>
  <c r="O45" i="6"/>
  <c r="P44" i="6"/>
  <c r="R44" i="6" l="1"/>
  <c r="AF44" i="6" s="1"/>
  <c r="Q44" i="6"/>
  <c r="AE44" i="6" s="1"/>
  <c r="V46" i="6"/>
  <c r="W45" i="6"/>
  <c r="O46" i="6"/>
  <c r="P45" i="6"/>
  <c r="U45" i="6" l="1"/>
  <c r="T45" i="6"/>
  <c r="R45" i="6"/>
  <c r="S45" i="6"/>
  <c r="Q45" i="6"/>
  <c r="V47" i="6"/>
  <c r="W46" i="6"/>
  <c r="P46" i="6"/>
  <c r="O47" i="6"/>
  <c r="S46" i="6" l="1"/>
  <c r="R46" i="6"/>
  <c r="Q46" i="6"/>
  <c r="U46" i="6"/>
  <c r="T46" i="6"/>
  <c r="V48" i="6"/>
  <c r="W47" i="6"/>
  <c r="P47" i="6"/>
  <c r="O48" i="6"/>
  <c r="U47" i="6" l="1"/>
  <c r="T47" i="6"/>
  <c r="S47" i="6"/>
  <c r="R47" i="6"/>
  <c r="Q47" i="6"/>
  <c r="V49" i="6"/>
  <c r="W48" i="6"/>
  <c r="O49" i="6"/>
  <c r="P48" i="6"/>
  <c r="Q48" i="6" l="1"/>
  <c r="U48" i="6"/>
  <c r="S48" i="6"/>
  <c r="T48" i="6"/>
  <c r="R48" i="6"/>
  <c r="V50" i="6"/>
  <c r="W49" i="6"/>
  <c r="P49" i="6"/>
  <c r="O50" i="6"/>
  <c r="T49" i="6" l="1"/>
  <c r="S49" i="6"/>
  <c r="R49" i="6"/>
  <c r="Q49" i="6"/>
  <c r="U49" i="6"/>
  <c r="V51" i="6"/>
  <c r="W50" i="6"/>
  <c r="P50" i="6"/>
  <c r="O51" i="6"/>
  <c r="U50" i="6" l="1"/>
  <c r="T50" i="6"/>
  <c r="S50" i="6"/>
  <c r="Q50" i="6"/>
  <c r="R50" i="6"/>
  <c r="V52" i="6"/>
  <c r="W51" i="6"/>
  <c r="O52" i="6"/>
  <c r="P51" i="6"/>
  <c r="R51" i="6" l="1"/>
  <c r="Q51" i="6"/>
  <c r="U51" i="6"/>
  <c r="T51" i="6"/>
  <c r="S51" i="6"/>
  <c r="V53" i="6"/>
  <c r="W52" i="6"/>
  <c r="O53" i="6"/>
  <c r="P52" i="6"/>
  <c r="U52" i="6" l="1"/>
  <c r="T52" i="6"/>
  <c r="S52" i="6"/>
  <c r="R52" i="6"/>
  <c r="Q52" i="6"/>
  <c r="V54" i="6"/>
  <c r="W53" i="6"/>
  <c r="O54" i="6"/>
  <c r="P53" i="6"/>
  <c r="U53" i="6" l="1"/>
  <c r="T53" i="6"/>
  <c r="R53" i="6"/>
  <c r="S53" i="6"/>
  <c r="Q53" i="6"/>
  <c r="V55" i="6"/>
  <c r="W54" i="6"/>
  <c r="P54" i="6"/>
  <c r="O55" i="6"/>
  <c r="S54" i="6" l="1"/>
  <c r="R54" i="6"/>
  <c r="Q54" i="6"/>
  <c r="U54" i="6"/>
  <c r="T54" i="6"/>
  <c r="V56" i="6"/>
  <c r="W55" i="6"/>
  <c r="O56" i="6"/>
  <c r="P55" i="6"/>
  <c r="U55" i="6" l="1"/>
  <c r="T55" i="6"/>
  <c r="S55" i="6"/>
  <c r="R55" i="6"/>
  <c r="Q55" i="6"/>
  <c r="V57" i="6"/>
  <c r="W56" i="6"/>
  <c r="O57" i="6"/>
  <c r="P56" i="6"/>
  <c r="Q56" i="6" l="1"/>
  <c r="U56" i="6"/>
  <c r="S56" i="6"/>
  <c r="T56" i="6"/>
  <c r="R56" i="6"/>
  <c r="V58" i="6"/>
  <c r="W57" i="6"/>
  <c r="O58" i="6"/>
  <c r="P57" i="6"/>
  <c r="T57" i="6" l="1"/>
  <c r="S57" i="6"/>
  <c r="R57" i="6"/>
  <c r="Q57" i="6"/>
  <c r="U57" i="6"/>
  <c r="V59" i="6"/>
  <c r="W58" i="6"/>
  <c r="P58" i="6"/>
  <c r="O59" i="6"/>
  <c r="U58" i="6" l="1"/>
  <c r="T58" i="6"/>
  <c r="S58" i="6"/>
  <c r="R58" i="6"/>
  <c r="Q58" i="6"/>
  <c r="V60" i="6"/>
  <c r="W59" i="6"/>
  <c r="P59" i="6"/>
  <c r="O60" i="6"/>
  <c r="R59" i="6" l="1"/>
  <c r="Q59" i="6"/>
  <c r="T59" i="6"/>
  <c r="U59" i="6"/>
  <c r="S59" i="6"/>
  <c r="V61" i="6"/>
  <c r="W60" i="6"/>
  <c r="O61" i="6"/>
  <c r="P60" i="6"/>
  <c r="U60" i="6" l="1"/>
  <c r="T60" i="6"/>
  <c r="S60" i="6"/>
  <c r="R60" i="6"/>
  <c r="Q60" i="6"/>
  <c r="V62" i="6"/>
  <c r="W61" i="6"/>
  <c r="P61" i="6"/>
  <c r="O62" i="6"/>
  <c r="U61" i="6" l="1"/>
  <c r="T61" i="6"/>
  <c r="S61" i="6"/>
  <c r="R61" i="6"/>
  <c r="Q61" i="6"/>
  <c r="V63" i="6"/>
  <c r="W62" i="6"/>
  <c r="P62" i="6"/>
  <c r="O63" i="6"/>
  <c r="T62" i="6" l="1"/>
  <c r="R62" i="6"/>
  <c r="Q62" i="6"/>
  <c r="U62" i="6"/>
  <c r="S62" i="6"/>
  <c r="V64" i="6"/>
  <c r="W63" i="6"/>
  <c r="P63" i="6"/>
  <c r="O64" i="6"/>
  <c r="U63" i="6" l="1"/>
  <c r="T63" i="6"/>
  <c r="Q63" i="6"/>
  <c r="S63" i="6"/>
  <c r="R63" i="6"/>
  <c r="V65" i="6"/>
  <c r="W64" i="6"/>
  <c r="O65" i="6"/>
  <c r="P64" i="6"/>
  <c r="R64" i="6" l="1"/>
  <c r="U64" i="6"/>
  <c r="T64" i="6"/>
  <c r="S64" i="6"/>
  <c r="Q64" i="6"/>
  <c r="V66" i="6"/>
  <c r="W65" i="6"/>
  <c r="P65" i="6"/>
  <c r="O66" i="6"/>
  <c r="U65" i="6" l="1"/>
  <c r="S65" i="6"/>
  <c r="R65" i="6"/>
  <c r="T65" i="6"/>
  <c r="Q65" i="6"/>
  <c r="V67" i="6"/>
  <c r="W66" i="6"/>
  <c r="P66" i="6"/>
  <c r="O67" i="6"/>
  <c r="V68" i="6" l="1"/>
  <c r="W67" i="6"/>
  <c r="O68" i="6"/>
  <c r="P67" i="6"/>
  <c r="U67" i="6" l="1"/>
  <c r="R67" i="6"/>
  <c r="T67" i="6"/>
  <c r="S67" i="6"/>
  <c r="Q67" i="6"/>
  <c r="V69" i="6"/>
  <c r="W68" i="6"/>
  <c r="O69" i="6"/>
  <c r="P68" i="6"/>
  <c r="S68" i="6" l="1"/>
  <c r="Q68" i="6"/>
  <c r="U68" i="6"/>
  <c r="T68" i="6"/>
  <c r="R68" i="6"/>
  <c r="V70" i="6"/>
  <c r="W69" i="6"/>
  <c r="O70" i="6"/>
  <c r="P69" i="6"/>
  <c r="T69" i="6" l="1"/>
  <c r="S69" i="6"/>
  <c r="Q69" i="6"/>
  <c r="U69" i="6"/>
  <c r="R69" i="6"/>
  <c r="V71" i="6"/>
  <c r="W70" i="6"/>
  <c r="P70" i="6"/>
  <c r="O71" i="6"/>
  <c r="Q70" i="6" l="1"/>
  <c r="U70" i="6"/>
  <c r="T70" i="6"/>
  <c r="S70" i="6"/>
  <c r="R70" i="6"/>
  <c r="V72" i="6"/>
  <c r="W71" i="6"/>
  <c r="O72" i="6"/>
  <c r="P71" i="6"/>
  <c r="T71" i="6" l="1"/>
  <c r="R71" i="6"/>
  <c r="Q71" i="6"/>
  <c r="U71" i="6"/>
  <c r="S71" i="6"/>
  <c r="V73" i="6"/>
  <c r="W72" i="6"/>
  <c r="O73" i="6"/>
  <c r="P72" i="6"/>
  <c r="U72" i="6" l="1"/>
  <c r="T72" i="6"/>
  <c r="S72" i="6"/>
  <c r="R72" i="6"/>
  <c r="Q72" i="6"/>
  <c r="V74" i="6"/>
  <c r="W73" i="6"/>
  <c r="P73" i="6"/>
  <c r="O74" i="6"/>
  <c r="R73" i="6" l="1"/>
  <c r="U73" i="6"/>
  <c r="T73" i="6"/>
  <c r="S73" i="6"/>
  <c r="Q73" i="6"/>
  <c r="V75" i="6"/>
  <c r="W74" i="6"/>
  <c r="O75" i="6"/>
  <c r="P74" i="6"/>
  <c r="U74" i="6" l="1"/>
  <c r="S74" i="6"/>
  <c r="R74" i="6"/>
  <c r="Q74" i="6"/>
  <c r="T74" i="6"/>
  <c r="V76" i="6"/>
  <c r="W75" i="6"/>
  <c r="O76" i="6"/>
  <c r="P75" i="6"/>
  <c r="U75" i="6" l="1"/>
  <c r="T75" i="6"/>
  <c r="Q75" i="6"/>
  <c r="S75" i="6"/>
  <c r="R75" i="6"/>
  <c r="V77" i="6"/>
  <c r="W76" i="6"/>
  <c r="O77" i="6"/>
  <c r="P76" i="6"/>
  <c r="S76" i="6" l="1"/>
  <c r="Q76" i="6"/>
  <c r="U76" i="6"/>
  <c r="T76" i="6"/>
  <c r="R76" i="6"/>
  <c r="V78" i="6"/>
  <c r="W77" i="6"/>
  <c r="P77" i="6"/>
  <c r="O78" i="6"/>
  <c r="T77" i="6" l="1"/>
  <c r="S77" i="6"/>
  <c r="R77" i="6"/>
  <c r="U77" i="6"/>
  <c r="Q77" i="6"/>
  <c r="V79" i="6"/>
  <c r="W78" i="6"/>
  <c r="O79" i="6"/>
  <c r="P78" i="6"/>
  <c r="Q78" i="6" l="1"/>
  <c r="U78" i="6"/>
  <c r="T78" i="6"/>
  <c r="S78" i="6"/>
  <c r="R78" i="6"/>
  <c r="V80" i="6"/>
  <c r="W79" i="6"/>
  <c r="O80" i="6"/>
  <c r="P79" i="6"/>
  <c r="T79" i="6" l="1"/>
  <c r="R79" i="6"/>
  <c r="Q79" i="6"/>
  <c r="S79" i="6"/>
  <c r="U79" i="6"/>
  <c r="V81" i="6"/>
  <c r="W80" i="6"/>
  <c r="O81" i="6"/>
  <c r="P80" i="6"/>
  <c r="U80" i="6" l="1"/>
  <c r="T80" i="6"/>
  <c r="S80" i="6"/>
  <c r="Q80" i="6"/>
  <c r="R80" i="6"/>
  <c r="V82" i="6"/>
  <c r="W81" i="6"/>
  <c r="P81" i="6"/>
  <c r="O82" i="6"/>
  <c r="R81" i="6" l="1"/>
  <c r="U81" i="6"/>
  <c r="T81" i="6"/>
  <c r="S81" i="6"/>
  <c r="Q81" i="6"/>
  <c r="V83" i="6"/>
  <c r="W82" i="6"/>
  <c r="O83" i="6"/>
  <c r="P82" i="6"/>
  <c r="U82" i="6" l="1"/>
  <c r="S82" i="6"/>
  <c r="R82" i="6"/>
  <c r="Q82" i="6"/>
  <c r="T82" i="6"/>
  <c r="V84" i="6"/>
  <c r="W83" i="6"/>
  <c r="O84" i="6"/>
  <c r="P83" i="6"/>
  <c r="U83" i="6" l="1"/>
  <c r="T83" i="6"/>
  <c r="S83" i="6"/>
  <c r="R83" i="6"/>
  <c r="Q83" i="6"/>
  <c r="V85" i="6"/>
  <c r="W84" i="6"/>
  <c r="O85" i="6"/>
  <c r="P84" i="6"/>
  <c r="S84" i="6" l="1"/>
  <c r="Q84" i="6"/>
  <c r="U84" i="6"/>
  <c r="T84" i="6"/>
  <c r="R84" i="6"/>
  <c r="V86" i="6"/>
  <c r="W85" i="6"/>
  <c r="P85" i="6"/>
  <c r="O86" i="6"/>
  <c r="T85" i="6" l="1"/>
  <c r="S85" i="6"/>
  <c r="R85" i="6"/>
  <c r="Q85" i="6"/>
  <c r="U85" i="6"/>
  <c r="V87" i="6"/>
  <c r="W86" i="6"/>
  <c r="P86" i="6"/>
  <c r="O87" i="6"/>
  <c r="Q86" i="6" l="1"/>
  <c r="U86" i="6"/>
  <c r="T86" i="6"/>
  <c r="S86" i="6"/>
  <c r="R86" i="6"/>
  <c r="V88" i="6"/>
  <c r="W87" i="6"/>
  <c r="O88" i="6"/>
  <c r="P87" i="6"/>
  <c r="T87" i="6" l="1"/>
  <c r="R87" i="6"/>
  <c r="Q87" i="6"/>
  <c r="U87" i="6"/>
  <c r="S87" i="6"/>
  <c r="V89" i="6"/>
  <c r="W88" i="6"/>
  <c r="P88" i="6"/>
  <c r="O89" i="6"/>
  <c r="U88" i="6" l="1"/>
  <c r="T88" i="6"/>
  <c r="S88" i="6"/>
  <c r="R88" i="6"/>
  <c r="Q88" i="6"/>
  <c r="V90" i="6"/>
  <c r="W89" i="6"/>
  <c r="O90" i="6"/>
  <c r="P89" i="6"/>
  <c r="R89" i="6" l="1"/>
  <c r="U89" i="6"/>
  <c r="T89" i="6"/>
  <c r="S89" i="6"/>
  <c r="Q89" i="6"/>
  <c r="V91" i="6"/>
  <c r="W90" i="6"/>
  <c r="P90" i="6"/>
  <c r="O91" i="6"/>
  <c r="U90" i="6" l="1"/>
  <c r="S90" i="6"/>
  <c r="R90" i="6"/>
  <c r="Q90" i="6"/>
  <c r="T90" i="6"/>
  <c r="V92" i="6"/>
  <c r="W91" i="6"/>
  <c r="O92" i="6"/>
  <c r="P91" i="6"/>
  <c r="U91" i="6" l="1"/>
  <c r="T91" i="6"/>
  <c r="S91" i="6"/>
  <c r="Q91" i="6"/>
  <c r="R91" i="6"/>
  <c r="V93" i="6"/>
  <c r="W92" i="6"/>
  <c r="O93" i="6"/>
  <c r="P92" i="6"/>
  <c r="S92" i="6" l="1"/>
  <c r="Q92" i="6"/>
  <c r="U92" i="6"/>
  <c r="T92" i="6"/>
  <c r="R92" i="6"/>
  <c r="V94" i="6"/>
  <c r="W93" i="6"/>
  <c r="P93" i="6"/>
  <c r="O94" i="6"/>
  <c r="T93" i="6" l="1"/>
  <c r="S93" i="6"/>
  <c r="R93" i="6"/>
  <c r="Q93" i="6"/>
  <c r="U93" i="6"/>
  <c r="V95" i="6"/>
  <c r="W94" i="6"/>
  <c r="P94" i="6"/>
  <c r="O95" i="6"/>
  <c r="Q94" i="6" l="1"/>
  <c r="U94" i="6"/>
  <c r="T94" i="6"/>
  <c r="S94" i="6"/>
  <c r="R94" i="6"/>
  <c r="V96" i="6"/>
  <c r="W95" i="6"/>
  <c r="O96" i="6"/>
  <c r="P95" i="6"/>
  <c r="T95" i="6" l="1"/>
  <c r="R95" i="6"/>
  <c r="Q95" i="6"/>
  <c r="S95" i="6"/>
  <c r="U95" i="6"/>
  <c r="V97" i="6"/>
  <c r="W96" i="6"/>
  <c r="O97" i="6"/>
  <c r="P96" i="6"/>
  <c r="U96" i="6" l="1"/>
  <c r="T96" i="6"/>
  <c r="S96" i="6"/>
  <c r="R96" i="6"/>
  <c r="Q96" i="6"/>
  <c r="V98" i="6"/>
  <c r="W97" i="6"/>
  <c r="P97" i="6"/>
  <c r="O98" i="6"/>
  <c r="R97" i="6" l="1"/>
  <c r="U97" i="6"/>
  <c r="T97" i="6"/>
  <c r="S97" i="6"/>
  <c r="Q97" i="6"/>
  <c r="V99" i="6"/>
  <c r="W98" i="6"/>
  <c r="P98" i="6"/>
  <c r="O99" i="6"/>
  <c r="U98" i="6" l="1"/>
  <c r="S98" i="6"/>
  <c r="R98" i="6"/>
  <c r="Q98" i="6"/>
  <c r="T98" i="6"/>
  <c r="V100" i="6"/>
  <c r="W99" i="6"/>
  <c r="O100" i="6"/>
  <c r="P99" i="6"/>
  <c r="U99" i="6" l="1"/>
  <c r="T99" i="6"/>
  <c r="S99" i="6"/>
  <c r="R99" i="6"/>
  <c r="Q99" i="6"/>
  <c r="V101" i="6"/>
  <c r="W100" i="6"/>
  <c r="O101" i="6"/>
  <c r="P100" i="6"/>
  <c r="S100" i="6" l="1"/>
  <c r="Q100" i="6"/>
  <c r="T100" i="6"/>
  <c r="U100" i="6"/>
  <c r="R100" i="6"/>
  <c r="V102" i="6"/>
  <c r="W101" i="6"/>
  <c r="P101" i="6"/>
  <c r="O102" i="6"/>
  <c r="T101" i="6" l="1"/>
  <c r="S101" i="6"/>
  <c r="R101" i="6"/>
  <c r="Q101" i="6"/>
  <c r="U101" i="6"/>
  <c r="V103" i="6"/>
  <c r="W102" i="6"/>
  <c r="P102" i="6"/>
  <c r="O103" i="6"/>
  <c r="Q102" i="6" l="1"/>
  <c r="U102" i="6"/>
  <c r="T102" i="6"/>
  <c r="S102" i="6"/>
  <c r="R102" i="6"/>
  <c r="V104" i="6"/>
  <c r="W103" i="6"/>
  <c r="O104" i="6"/>
  <c r="P103" i="6"/>
  <c r="T103" i="6" l="1"/>
  <c r="R103" i="6"/>
  <c r="Q103" i="6"/>
  <c r="U103" i="6"/>
  <c r="S103" i="6"/>
  <c r="V105" i="6"/>
  <c r="W104" i="6"/>
  <c r="O105" i="6"/>
  <c r="P104" i="6"/>
  <c r="U104" i="6" l="1"/>
  <c r="T104" i="6"/>
  <c r="S104" i="6"/>
  <c r="R104" i="6"/>
  <c r="Q104" i="6"/>
  <c r="V106" i="6"/>
  <c r="W105" i="6"/>
  <c r="P105" i="6"/>
  <c r="O106" i="6"/>
  <c r="R105" i="6" l="1"/>
  <c r="U105" i="6"/>
  <c r="Q105" i="6"/>
  <c r="T105" i="6"/>
  <c r="S105" i="6"/>
  <c r="V107" i="6"/>
  <c r="W106" i="6"/>
  <c r="P106" i="6"/>
  <c r="O107" i="6"/>
  <c r="U106" i="6" l="1"/>
  <c r="S106" i="6"/>
  <c r="R106" i="6"/>
  <c r="Q106" i="6"/>
  <c r="T106" i="6"/>
  <c r="V108" i="6"/>
  <c r="W107" i="6"/>
  <c r="O108" i="6"/>
  <c r="P107" i="6"/>
  <c r="U107" i="6" l="1"/>
  <c r="T107" i="6"/>
  <c r="S107" i="6"/>
  <c r="R107" i="6"/>
  <c r="Q107" i="6"/>
  <c r="V109" i="6"/>
  <c r="W108" i="6"/>
  <c r="O109" i="6"/>
  <c r="P108" i="6"/>
  <c r="S108" i="6" l="1"/>
  <c r="Q108" i="6"/>
  <c r="R108" i="6"/>
  <c r="U108" i="6"/>
  <c r="T108" i="6"/>
  <c r="V110" i="6"/>
  <c r="W109" i="6"/>
  <c r="P109" i="6"/>
  <c r="O110" i="6"/>
  <c r="T109" i="6" l="1"/>
  <c r="S109" i="6"/>
  <c r="R109" i="6"/>
  <c r="Q109" i="6"/>
  <c r="U109" i="6"/>
  <c r="V111" i="6"/>
  <c r="W110" i="6"/>
  <c r="P110" i="6"/>
  <c r="O111" i="6"/>
  <c r="Q110" i="6" l="1"/>
  <c r="U110" i="6"/>
  <c r="T110" i="6"/>
  <c r="S110" i="6"/>
  <c r="R110" i="6"/>
  <c r="V112" i="6"/>
  <c r="W111" i="6"/>
  <c r="O112" i="6"/>
  <c r="P111" i="6"/>
  <c r="T111" i="6" l="1"/>
  <c r="R111" i="6"/>
  <c r="Q111" i="6"/>
  <c r="U111" i="6"/>
  <c r="S111" i="6"/>
  <c r="V113" i="6"/>
  <c r="W112" i="6"/>
  <c r="O113" i="6"/>
  <c r="P112" i="6"/>
  <c r="U112" i="6" l="1"/>
  <c r="T112" i="6"/>
  <c r="S112" i="6"/>
  <c r="R112" i="6"/>
  <c r="Q112" i="6"/>
  <c r="V114" i="6"/>
  <c r="W113" i="6"/>
  <c r="O114" i="6"/>
  <c r="P113" i="6"/>
  <c r="R113" i="6" l="1"/>
  <c r="U113" i="6"/>
  <c r="S113" i="6"/>
  <c r="Q113" i="6"/>
  <c r="T113" i="6"/>
  <c r="V115" i="6"/>
  <c r="W114" i="6"/>
  <c r="O115" i="6"/>
  <c r="P114" i="6"/>
  <c r="U114" i="6" l="1"/>
  <c r="S114" i="6"/>
  <c r="R114" i="6"/>
  <c r="Q114" i="6"/>
  <c r="T114" i="6"/>
  <c r="V116" i="6"/>
  <c r="W115" i="6"/>
  <c r="O116" i="6"/>
  <c r="P115" i="6"/>
  <c r="V117" i="6" l="1"/>
  <c r="W116" i="6"/>
  <c r="O117" i="6"/>
  <c r="P116" i="6"/>
  <c r="V118" i="6" l="1"/>
  <c r="W117" i="6"/>
  <c r="P117" i="6"/>
  <c r="O118" i="6"/>
  <c r="V119" i="6" l="1"/>
  <c r="W118" i="6"/>
  <c r="O119" i="6"/>
  <c r="P118" i="6"/>
  <c r="V120" i="6" l="1"/>
  <c r="W119" i="6"/>
  <c r="O120" i="6"/>
  <c r="P119" i="6"/>
  <c r="V121" i="6" l="1"/>
  <c r="W120" i="6"/>
  <c r="P120" i="6"/>
  <c r="O121" i="6"/>
  <c r="U120" i="6" l="1"/>
  <c r="T120" i="6"/>
  <c r="S120" i="6"/>
  <c r="R120" i="6"/>
  <c r="Q120" i="6"/>
  <c r="V122" i="6"/>
  <c r="W121" i="6"/>
  <c r="P121" i="6"/>
  <c r="O122" i="6"/>
  <c r="S121" i="6" l="1"/>
  <c r="Q121" i="6"/>
  <c r="T121" i="6"/>
  <c r="R121" i="6"/>
  <c r="U121" i="6"/>
  <c r="V123" i="6"/>
  <c r="W122" i="6"/>
  <c r="O123" i="6"/>
  <c r="P122" i="6"/>
  <c r="V124" i="6" l="1"/>
  <c r="W123" i="6"/>
  <c r="O124" i="6"/>
  <c r="P123" i="6"/>
  <c r="T123" i="6" l="1"/>
  <c r="S123" i="6"/>
  <c r="R123" i="6"/>
  <c r="Q123" i="6"/>
  <c r="U123" i="6"/>
  <c r="V125" i="6"/>
  <c r="W124" i="6"/>
  <c r="P124" i="6"/>
  <c r="O125" i="6"/>
  <c r="Q124" i="6" l="1"/>
  <c r="U124" i="6"/>
  <c r="T124" i="6"/>
  <c r="S124" i="6"/>
  <c r="R124" i="6"/>
  <c r="V126" i="6"/>
  <c r="W125" i="6"/>
  <c r="P125" i="6"/>
  <c r="O126" i="6"/>
  <c r="T125" i="6" l="1"/>
  <c r="R125" i="6"/>
  <c r="Q125" i="6"/>
  <c r="U125" i="6"/>
  <c r="S125" i="6"/>
  <c r="V127" i="6"/>
  <c r="W126" i="6"/>
  <c r="O127" i="6"/>
  <c r="P126" i="6"/>
  <c r="U126" i="6" l="1"/>
  <c r="T126" i="6"/>
  <c r="S126" i="6"/>
  <c r="R126" i="6"/>
  <c r="Q126" i="6"/>
  <c r="V128" i="6"/>
  <c r="W127" i="6"/>
  <c r="O128" i="6"/>
  <c r="P127" i="6"/>
  <c r="R127" i="6" l="1"/>
  <c r="U127" i="6"/>
  <c r="Q127" i="6"/>
  <c r="T127" i="6"/>
  <c r="S127" i="6"/>
  <c r="V129" i="6"/>
  <c r="W128" i="6"/>
  <c r="P128" i="6"/>
  <c r="O129" i="6"/>
  <c r="U128" i="6" l="1"/>
  <c r="S128" i="6"/>
  <c r="R128" i="6"/>
  <c r="Q128" i="6"/>
  <c r="T128" i="6"/>
  <c r="V130" i="6"/>
  <c r="W129" i="6"/>
  <c r="P129" i="6"/>
  <c r="O130" i="6"/>
  <c r="U129" i="6" l="1"/>
  <c r="T129" i="6"/>
  <c r="S129" i="6"/>
  <c r="R129" i="6"/>
  <c r="Q129" i="6"/>
  <c r="V131" i="6"/>
  <c r="W130" i="6"/>
  <c r="O131" i="6"/>
  <c r="P130" i="6"/>
  <c r="S130" i="6" l="1"/>
  <c r="Q130" i="6"/>
  <c r="U130" i="6"/>
  <c r="T130" i="6"/>
  <c r="R130" i="6"/>
  <c r="V132" i="6"/>
  <c r="W131" i="6"/>
  <c r="O132" i="6"/>
  <c r="P131" i="6"/>
  <c r="T131" i="6" l="1"/>
  <c r="S131" i="6"/>
  <c r="R131" i="6"/>
  <c r="Q131" i="6"/>
  <c r="U131" i="6"/>
  <c r="V133" i="6"/>
  <c r="W132" i="6"/>
  <c r="P132" i="6"/>
  <c r="O133" i="6"/>
  <c r="Q132" i="6" l="1"/>
  <c r="U132" i="6"/>
  <c r="T132" i="6"/>
  <c r="R132" i="6"/>
  <c r="S132" i="6"/>
  <c r="V134" i="6"/>
  <c r="W133" i="6"/>
  <c r="P133" i="6"/>
  <c r="O134" i="6"/>
  <c r="T133" i="6" l="1"/>
  <c r="R133" i="6"/>
  <c r="Q133" i="6"/>
  <c r="U133" i="6"/>
  <c r="S133" i="6"/>
  <c r="V135" i="6"/>
  <c r="W134" i="6"/>
  <c r="O135" i="6"/>
  <c r="P134" i="6"/>
  <c r="U134" i="6" l="1"/>
  <c r="T134" i="6"/>
  <c r="S134" i="6"/>
  <c r="R134" i="6"/>
  <c r="Q134" i="6"/>
  <c r="V136" i="6"/>
  <c r="W135" i="6"/>
  <c r="O136" i="6"/>
  <c r="P135" i="6"/>
  <c r="R135" i="6" l="1"/>
  <c r="U135" i="6"/>
  <c r="S135" i="6"/>
  <c r="Q135" i="6"/>
  <c r="T135" i="6"/>
  <c r="V137" i="6"/>
  <c r="W136" i="6"/>
  <c r="P136" i="6"/>
  <c r="O137" i="6"/>
  <c r="U136" i="6" l="1"/>
  <c r="S136" i="6"/>
  <c r="R136" i="6"/>
  <c r="Q136" i="6"/>
  <c r="T136" i="6"/>
  <c r="V138" i="6"/>
  <c r="W137" i="6"/>
  <c r="P137" i="6"/>
  <c r="O138" i="6"/>
  <c r="U137" i="6" l="1"/>
  <c r="T137" i="6"/>
  <c r="S137" i="6"/>
  <c r="R137" i="6"/>
  <c r="Q137" i="6"/>
  <c r="V139" i="6"/>
  <c r="W138" i="6"/>
  <c r="O139" i="6"/>
  <c r="P138" i="6"/>
  <c r="S138" i="6" l="1"/>
  <c r="Q138" i="6"/>
  <c r="U138" i="6"/>
  <c r="T138" i="6"/>
  <c r="R138" i="6"/>
  <c r="V140" i="6"/>
  <c r="W139" i="6"/>
  <c r="O140" i="6"/>
  <c r="P139" i="6"/>
  <c r="T139" i="6" l="1"/>
  <c r="S139" i="6"/>
  <c r="R139" i="6"/>
  <c r="Q139" i="6"/>
  <c r="U139" i="6"/>
  <c r="V141" i="6"/>
  <c r="W140" i="6"/>
  <c r="P140" i="6"/>
  <c r="O141" i="6"/>
  <c r="Q140" i="6" l="1"/>
  <c r="U140" i="6"/>
  <c r="T140" i="6"/>
  <c r="R140" i="6"/>
  <c r="S140" i="6"/>
  <c r="V142" i="6"/>
  <c r="W141" i="6"/>
  <c r="P141" i="6"/>
  <c r="O142" i="6"/>
  <c r="T141" i="6" l="1"/>
  <c r="R141" i="6"/>
  <c r="Q141" i="6"/>
  <c r="U141" i="6"/>
  <c r="S141" i="6"/>
  <c r="V143" i="6"/>
  <c r="W142" i="6"/>
  <c r="O143" i="6"/>
  <c r="P142" i="6"/>
  <c r="U142" i="6" l="1"/>
  <c r="T142" i="6"/>
  <c r="S142" i="6"/>
  <c r="R142" i="6"/>
  <c r="Q142" i="6"/>
  <c r="V144" i="6"/>
  <c r="W143" i="6"/>
  <c r="O144" i="6"/>
  <c r="P143" i="6"/>
  <c r="R143" i="6" l="1"/>
  <c r="U143" i="6"/>
  <c r="T143" i="6"/>
  <c r="S143" i="6"/>
  <c r="Q143" i="6"/>
  <c r="V145" i="6"/>
  <c r="W144" i="6"/>
  <c r="P144" i="6"/>
  <c r="O145" i="6"/>
  <c r="U144" i="6" l="1"/>
  <c r="S144" i="6"/>
  <c r="R144" i="6"/>
  <c r="Q144" i="6"/>
  <c r="T144" i="6"/>
  <c r="V146" i="6"/>
  <c r="W145" i="6"/>
  <c r="O146" i="6"/>
  <c r="P145" i="6"/>
  <c r="U145" i="6" l="1"/>
  <c r="T145" i="6"/>
  <c r="S145" i="6"/>
  <c r="Q145" i="6"/>
  <c r="R145" i="6"/>
  <c r="V147" i="6"/>
  <c r="W146" i="6"/>
  <c r="O147" i="6"/>
  <c r="P146" i="6"/>
  <c r="S146" i="6" l="1"/>
  <c r="Q146" i="6"/>
  <c r="U146" i="6"/>
  <c r="T146" i="6"/>
  <c r="R146" i="6"/>
  <c r="V148" i="6"/>
  <c r="W147" i="6"/>
  <c r="P147" i="6"/>
  <c r="O148" i="6"/>
  <c r="V149" i="6" l="1"/>
  <c r="W148" i="6"/>
  <c r="P148" i="6"/>
  <c r="O149" i="6"/>
  <c r="V150" i="6" l="1"/>
  <c r="W149" i="6"/>
  <c r="O150" i="6"/>
  <c r="P149" i="6"/>
  <c r="V151" i="6" l="1"/>
  <c r="W150" i="6"/>
  <c r="P150" i="6"/>
  <c r="O151" i="6"/>
  <c r="T150" i="6" l="1"/>
  <c r="S150" i="6"/>
  <c r="R150" i="6"/>
  <c r="Q150" i="6"/>
  <c r="U150" i="6"/>
  <c r="V152" i="6"/>
  <c r="W151" i="6"/>
  <c r="O152" i="6"/>
  <c r="P151" i="6"/>
  <c r="Q151" i="6" l="1"/>
  <c r="U151" i="6"/>
  <c r="T151" i="6"/>
  <c r="R151" i="6"/>
  <c r="S151" i="6"/>
  <c r="V153" i="6"/>
  <c r="W152" i="6"/>
  <c r="P152" i="6"/>
  <c r="O153" i="6"/>
  <c r="V154" i="6" l="1"/>
  <c r="W153" i="6"/>
  <c r="P153" i="6"/>
  <c r="O154" i="6"/>
  <c r="V155" i="6" l="1"/>
  <c r="W154" i="6"/>
  <c r="O155" i="6"/>
  <c r="P154" i="6"/>
  <c r="V156" i="6" l="1"/>
  <c r="W155" i="6"/>
  <c r="O156" i="6"/>
  <c r="P155" i="6"/>
  <c r="T155" i="6" l="1"/>
  <c r="R155" i="6"/>
  <c r="Q155" i="6"/>
  <c r="S155" i="6"/>
  <c r="U155" i="6"/>
  <c r="V157" i="6"/>
  <c r="W156" i="6"/>
  <c r="P156" i="6"/>
  <c r="O157" i="6"/>
  <c r="U156" i="6" l="1"/>
  <c r="T156" i="6"/>
  <c r="S156" i="6"/>
  <c r="R156" i="6"/>
  <c r="Q156" i="6"/>
  <c r="V158" i="6"/>
  <c r="W157" i="6"/>
  <c r="P157" i="6"/>
  <c r="O158" i="6"/>
  <c r="R157" i="6" l="1"/>
  <c r="U157" i="6"/>
  <c r="T157" i="6"/>
  <c r="S157" i="6"/>
  <c r="Q157" i="6"/>
  <c r="V159" i="6"/>
  <c r="W158" i="6"/>
  <c r="O159" i="6"/>
  <c r="P158" i="6"/>
  <c r="U158" i="6" l="1"/>
  <c r="S158" i="6"/>
  <c r="R158" i="6"/>
  <c r="Q158" i="6"/>
  <c r="T158" i="6"/>
  <c r="V160" i="6"/>
  <c r="W159" i="6"/>
  <c r="O160" i="6"/>
  <c r="P159" i="6"/>
  <c r="U159" i="6" l="1"/>
  <c r="T159" i="6"/>
  <c r="S159" i="6"/>
  <c r="R159" i="6"/>
  <c r="Q159" i="6"/>
  <c r="V161" i="6"/>
  <c r="W160" i="6"/>
  <c r="P160" i="6"/>
  <c r="O161" i="6"/>
  <c r="S160" i="6" l="1"/>
  <c r="Q160" i="6"/>
  <c r="U160" i="6"/>
  <c r="T160" i="6"/>
  <c r="R160" i="6"/>
  <c r="V162" i="6"/>
  <c r="W161" i="6"/>
  <c r="P161" i="6"/>
  <c r="O162" i="6"/>
  <c r="T161" i="6" l="1"/>
  <c r="S161" i="6"/>
  <c r="R161" i="6"/>
  <c r="Q161" i="6"/>
  <c r="U161" i="6"/>
  <c r="V163" i="6"/>
  <c r="W162" i="6"/>
  <c r="O163" i="6"/>
  <c r="P162" i="6"/>
  <c r="Q162" i="6" l="1"/>
  <c r="U162" i="6"/>
  <c r="T162" i="6"/>
  <c r="S162" i="6"/>
  <c r="R162" i="6"/>
  <c r="V164" i="6"/>
  <c r="W163" i="6"/>
  <c r="O164" i="6"/>
  <c r="P163" i="6"/>
  <c r="T163" i="6" l="1"/>
  <c r="R163" i="6"/>
  <c r="Q163" i="6"/>
  <c r="U163" i="6"/>
  <c r="S163" i="6"/>
  <c r="V165" i="6"/>
  <c r="W164" i="6"/>
  <c r="P164" i="6"/>
  <c r="O165" i="6"/>
  <c r="U164" i="6" l="1"/>
  <c r="T164" i="6"/>
  <c r="S164" i="6"/>
  <c r="R164" i="6"/>
  <c r="Q164" i="6"/>
  <c r="V166" i="6"/>
  <c r="W165" i="6"/>
  <c r="P165" i="6"/>
  <c r="O166" i="6"/>
  <c r="R165" i="6" l="1"/>
  <c r="U165" i="6"/>
  <c r="T165" i="6"/>
  <c r="S165" i="6"/>
  <c r="Q165" i="6"/>
  <c r="V167" i="6"/>
  <c r="W166" i="6"/>
  <c r="O167" i="6"/>
  <c r="P166" i="6"/>
  <c r="U166" i="6" l="1"/>
  <c r="S166" i="6"/>
  <c r="R166" i="6"/>
  <c r="Q166" i="6"/>
  <c r="T166" i="6"/>
  <c r="V168" i="6"/>
  <c r="W167" i="6"/>
  <c r="O168" i="6"/>
  <c r="P167" i="6"/>
  <c r="U167" i="6" l="1"/>
  <c r="T167" i="6"/>
  <c r="S167" i="6"/>
  <c r="Q167" i="6"/>
  <c r="R167" i="6"/>
  <c r="V169" i="6"/>
  <c r="W168" i="6"/>
  <c r="P168" i="6"/>
  <c r="O169" i="6"/>
  <c r="S168" i="6" l="1"/>
  <c r="Q168" i="6"/>
  <c r="R168" i="6"/>
  <c r="U168" i="6"/>
  <c r="T168" i="6"/>
  <c r="V170" i="6"/>
  <c r="W169" i="6"/>
  <c r="P169" i="6"/>
  <c r="O170" i="6"/>
  <c r="T169" i="6" l="1"/>
  <c r="S169" i="6"/>
  <c r="R169" i="6"/>
  <c r="Q169" i="6"/>
  <c r="U169" i="6"/>
  <c r="V171" i="6"/>
  <c r="W170" i="6"/>
  <c r="O171" i="6"/>
  <c r="P170" i="6"/>
  <c r="Q170" i="6" l="1"/>
  <c r="U170" i="6"/>
  <c r="T170" i="6"/>
  <c r="S170" i="6"/>
  <c r="R170" i="6"/>
  <c r="V172" i="6"/>
  <c r="W171" i="6"/>
  <c r="O172" i="6"/>
  <c r="P171" i="6"/>
  <c r="T171" i="6" l="1"/>
  <c r="R171" i="6"/>
  <c r="Q171" i="6"/>
  <c r="S171" i="6"/>
  <c r="U171" i="6"/>
  <c r="V173" i="6"/>
  <c r="W172" i="6"/>
  <c r="P172" i="6"/>
  <c r="O173" i="6"/>
  <c r="U172" i="6" l="1"/>
  <c r="T172" i="6"/>
  <c r="S172" i="6"/>
  <c r="R172" i="6"/>
  <c r="Q172" i="6"/>
  <c r="V174" i="6"/>
  <c r="W173" i="6"/>
  <c r="P173" i="6"/>
  <c r="O174" i="6"/>
  <c r="R173" i="6" l="1"/>
  <c r="U173" i="6"/>
  <c r="T173" i="6"/>
  <c r="S173" i="6"/>
  <c r="Q173" i="6"/>
  <c r="V175" i="6"/>
  <c r="W174" i="6"/>
  <c r="O175" i="6"/>
  <c r="P174" i="6"/>
  <c r="U174" i="6" l="1"/>
  <c r="S174" i="6"/>
  <c r="R174" i="6"/>
  <c r="Q174" i="6"/>
  <c r="T174" i="6"/>
  <c r="V176" i="6"/>
  <c r="W175" i="6"/>
  <c r="P175" i="6"/>
  <c r="O176" i="6"/>
  <c r="U175" i="6" l="1"/>
  <c r="T175" i="6"/>
  <c r="S175" i="6"/>
  <c r="R175" i="6"/>
  <c r="Q175" i="6"/>
  <c r="V177" i="6"/>
  <c r="W176" i="6"/>
  <c r="O177" i="6"/>
  <c r="P176" i="6"/>
  <c r="S176" i="6" l="1"/>
  <c r="Q176" i="6"/>
  <c r="T176" i="6"/>
  <c r="R176" i="6"/>
  <c r="U176" i="6"/>
  <c r="V178" i="6"/>
  <c r="W177" i="6"/>
  <c r="O178" i="6"/>
  <c r="P177" i="6"/>
  <c r="V179" i="6" l="1"/>
  <c r="W178" i="6"/>
  <c r="O179" i="6"/>
  <c r="P178" i="6"/>
  <c r="V180" i="6" l="1"/>
  <c r="W179" i="6"/>
  <c r="P179" i="6"/>
  <c r="O180" i="6"/>
  <c r="V181" i="6" l="1"/>
  <c r="W180" i="6"/>
  <c r="O181" i="6"/>
  <c r="P180" i="6"/>
  <c r="V182" i="6" l="1"/>
  <c r="W181" i="6"/>
  <c r="O182" i="6"/>
  <c r="P181" i="6"/>
  <c r="V183" i="6" l="1"/>
  <c r="W182" i="6"/>
  <c r="O183" i="6"/>
  <c r="P182" i="6"/>
  <c r="V184" i="6" l="1"/>
  <c r="W183" i="6"/>
  <c r="P183" i="6"/>
  <c r="O184" i="6"/>
  <c r="V185" i="6" l="1"/>
  <c r="W184" i="6"/>
  <c r="O185" i="6"/>
  <c r="P184" i="6"/>
  <c r="V186" i="6" l="1"/>
  <c r="W185" i="6"/>
  <c r="O186" i="6"/>
  <c r="P185" i="6"/>
  <c r="V187" i="6" l="1"/>
  <c r="W186" i="6"/>
  <c r="O187" i="6"/>
  <c r="P186" i="6"/>
  <c r="V188" i="6" l="1"/>
  <c r="W187" i="6"/>
  <c r="O188" i="6"/>
  <c r="P187" i="6"/>
  <c r="V189" i="6" l="1"/>
  <c r="W188" i="6"/>
  <c r="P188" i="6"/>
  <c r="O189" i="6"/>
  <c r="V190" i="6" l="1"/>
  <c r="W189" i="6"/>
  <c r="P189" i="6"/>
  <c r="O190" i="6"/>
  <c r="V191" i="6" l="1"/>
  <c r="W190" i="6"/>
  <c r="O191" i="6"/>
  <c r="P190" i="6"/>
  <c r="T190" i="6" l="1"/>
  <c r="S190" i="6"/>
  <c r="R190" i="6"/>
  <c r="Q190" i="6"/>
  <c r="U190" i="6"/>
  <c r="V192" i="6"/>
  <c r="W191" i="6"/>
  <c r="O192" i="6"/>
  <c r="P191" i="6"/>
  <c r="Q191" i="6" l="1"/>
  <c r="U191" i="6"/>
  <c r="T191" i="6"/>
  <c r="S191" i="6"/>
  <c r="R191" i="6"/>
  <c r="V193" i="6"/>
  <c r="W192" i="6"/>
  <c r="P192" i="6"/>
  <c r="O193" i="6"/>
  <c r="T192" i="6" l="1"/>
  <c r="R192" i="6"/>
  <c r="Q192" i="6"/>
  <c r="U192" i="6"/>
  <c r="S192" i="6"/>
  <c r="V194" i="6"/>
  <c r="W193" i="6"/>
  <c r="P193" i="6"/>
  <c r="O194" i="6"/>
  <c r="U193" i="6" l="1"/>
  <c r="T193" i="6"/>
  <c r="S193" i="6"/>
  <c r="R193" i="6"/>
  <c r="Q193" i="6"/>
  <c r="V195" i="6"/>
  <c r="W194" i="6"/>
  <c r="O195" i="6"/>
  <c r="P194" i="6"/>
  <c r="R194" i="6" l="1"/>
  <c r="U194" i="6"/>
  <c r="Q194" i="6"/>
  <c r="T194" i="6"/>
  <c r="S194" i="6"/>
  <c r="V196" i="6"/>
  <c r="W195" i="6"/>
  <c r="O196" i="6"/>
  <c r="P195" i="6"/>
  <c r="U195" i="6" l="1"/>
  <c r="S195" i="6"/>
  <c r="R195" i="6"/>
  <c r="Q195" i="6"/>
  <c r="T195" i="6"/>
  <c r="V197" i="6"/>
  <c r="W196" i="6"/>
  <c r="P196" i="6"/>
  <c r="O197" i="6"/>
  <c r="U196" i="6" l="1"/>
  <c r="T196" i="6"/>
  <c r="S196" i="6"/>
  <c r="R196" i="6"/>
  <c r="Q196" i="6"/>
  <c r="V198" i="6"/>
  <c r="W197" i="6"/>
  <c r="P197" i="6"/>
  <c r="O198" i="6"/>
  <c r="S197" i="6" l="1"/>
  <c r="Q197" i="6"/>
  <c r="R197" i="6"/>
  <c r="U197" i="6"/>
  <c r="T197" i="6"/>
  <c r="V199" i="6"/>
  <c r="W198" i="6"/>
  <c r="O199" i="6"/>
  <c r="P198" i="6"/>
  <c r="T198" i="6" l="1"/>
  <c r="S198" i="6"/>
  <c r="R198" i="6"/>
  <c r="Q198" i="6"/>
  <c r="U198" i="6"/>
  <c r="V200" i="6"/>
  <c r="W199" i="6"/>
  <c r="O200" i="6"/>
  <c r="P199" i="6"/>
  <c r="Q199" i="6" l="1"/>
  <c r="U199" i="6"/>
  <c r="T199" i="6"/>
  <c r="S199" i="6"/>
  <c r="R199" i="6"/>
  <c r="V201" i="6"/>
  <c r="W200" i="6"/>
  <c r="P200" i="6"/>
  <c r="O201" i="6"/>
  <c r="T200" i="6" l="1"/>
  <c r="R200" i="6"/>
  <c r="Q200" i="6"/>
  <c r="U200" i="6"/>
  <c r="S200" i="6"/>
  <c r="V202" i="6"/>
  <c r="W201" i="6"/>
  <c r="P201" i="6"/>
  <c r="O202" i="6"/>
  <c r="V203" i="6" l="1"/>
  <c r="W202" i="6"/>
  <c r="O203" i="6"/>
  <c r="P202" i="6"/>
  <c r="R202" i="6" s="1"/>
  <c r="V204" i="6" l="1"/>
  <c r="W203" i="6"/>
  <c r="P203" i="6"/>
  <c r="O204" i="6"/>
  <c r="T203" i="6" l="1"/>
  <c r="S203" i="6"/>
  <c r="R203" i="6"/>
  <c r="Q203" i="6"/>
  <c r="U203" i="6"/>
  <c r="V205" i="6"/>
  <c r="W204" i="6"/>
  <c r="P204" i="6"/>
  <c r="O205" i="6"/>
  <c r="Q204" i="6" l="1"/>
  <c r="U204" i="6"/>
  <c r="T204" i="6"/>
  <c r="R204" i="6"/>
  <c r="S204" i="6"/>
  <c r="V206" i="6"/>
  <c r="W205" i="6"/>
  <c r="O206" i="6"/>
  <c r="P205" i="6"/>
  <c r="U205" i="6" l="1"/>
  <c r="T205" i="6"/>
  <c r="R205" i="6"/>
  <c r="S205" i="6"/>
  <c r="Q205" i="6"/>
  <c r="V207" i="6"/>
  <c r="W206" i="6"/>
  <c r="O207" i="6"/>
  <c r="P206" i="6"/>
  <c r="V208" i="6" l="1"/>
  <c r="W207" i="6"/>
  <c r="P207" i="6"/>
  <c r="O208" i="6"/>
  <c r="V209" i="6" l="1"/>
  <c r="W208" i="6"/>
  <c r="P208" i="6"/>
  <c r="O209" i="6"/>
  <c r="S208" i="6" l="1"/>
  <c r="Q208" i="6"/>
  <c r="U208" i="6"/>
  <c r="T208" i="6"/>
  <c r="R208" i="6"/>
  <c r="V210" i="6"/>
  <c r="W209" i="6"/>
  <c r="O210" i="6"/>
  <c r="P209" i="6"/>
  <c r="T209" i="6" l="1"/>
  <c r="S209" i="6"/>
  <c r="R209" i="6"/>
  <c r="Q209" i="6"/>
  <c r="U209" i="6"/>
  <c r="V211" i="6"/>
  <c r="W210" i="6"/>
  <c r="O211" i="6"/>
  <c r="P210" i="6"/>
  <c r="Q210" i="6" l="1"/>
  <c r="U210" i="6"/>
  <c r="S210" i="6"/>
  <c r="R210" i="6"/>
  <c r="T210" i="6"/>
  <c r="V212" i="6"/>
  <c r="W211" i="6"/>
  <c r="P211" i="6"/>
  <c r="O212" i="6"/>
  <c r="T211" i="6" l="1"/>
  <c r="R211" i="6"/>
  <c r="Q211" i="6"/>
  <c r="U211" i="6"/>
  <c r="S211" i="6"/>
  <c r="V213" i="6"/>
  <c r="W212" i="6"/>
  <c r="P212" i="6"/>
  <c r="O213" i="6"/>
  <c r="U212" i="6" l="1"/>
  <c r="T212" i="6"/>
  <c r="S212" i="6"/>
  <c r="Q212" i="6"/>
  <c r="R212" i="6"/>
  <c r="V214" i="6"/>
  <c r="W213" i="6"/>
  <c r="O214" i="6"/>
  <c r="P213" i="6"/>
  <c r="R213" i="6" l="1"/>
  <c r="T213" i="6"/>
  <c r="S213" i="6"/>
  <c r="U213" i="6"/>
  <c r="Q213" i="6"/>
  <c r="V215" i="6"/>
  <c r="W214" i="6"/>
  <c r="O215" i="6"/>
  <c r="P214" i="6"/>
  <c r="U214" i="6" l="1"/>
  <c r="S214" i="6"/>
  <c r="R214" i="6"/>
  <c r="Q214" i="6"/>
  <c r="T214" i="6"/>
  <c r="V216" i="6"/>
  <c r="W215" i="6"/>
  <c r="P215" i="6"/>
  <c r="O216" i="6"/>
  <c r="U215" i="6" l="1"/>
  <c r="T215" i="6"/>
  <c r="R215" i="6"/>
  <c r="Q215" i="6"/>
  <c r="S215" i="6"/>
  <c r="V217" i="6"/>
  <c r="W216" i="6"/>
  <c r="P216" i="6"/>
  <c r="O217" i="6"/>
  <c r="S216" i="6" l="1"/>
  <c r="Q216" i="6"/>
  <c r="U216" i="6"/>
  <c r="T216" i="6"/>
  <c r="R216" i="6"/>
  <c r="V218" i="6"/>
  <c r="W217" i="6"/>
  <c r="O218" i="6"/>
  <c r="P217" i="6"/>
  <c r="T217" i="6" l="1"/>
  <c r="S217" i="6"/>
  <c r="R217" i="6"/>
  <c r="U217" i="6"/>
  <c r="Q217" i="6"/>
  <c r="V219" i="6"/>
  <c r="W218" i="6"/>
  <c r="O219" i="6"/>
  <c r="P218" i="6"/>
  <c r="Q218" i="6" l="1"/>
  <c r="U218" i="6"/>
  <c r="S218" i="6"/>
  <c r="R218" i="6"/>
  <c r="T218" i="6"/>
  <c r="V220" i="6"/>
  <c r="W219" i="6"/>
  <c r="P219" i="6"/>
  <c r="O220" i="6"/>
  <c r="T219" i="6" l="1"/>
  <c r="R219" i="6"/>
  <c r="Q219" i="6"/>
  <c r="U219" i="6"/>
  <c r="S219" i="6"/>
  <c r="V221" i="6"/>
  <c r="W220" i="6"/>
  <c r="P220" i="6"/>
  <c r="O221" i="6"/>
  <c r="U220" i="6" l="1"/>
  <c r="T220" i="6"/>
  <c r="S220" i="6"/>
  <c r="Q220" i="6"/>
  <c r="R220" i="6"/>
  <c r="V222" i="6"/>
  <c r="W221" i="6"/>
  <c r="O222" i="6"/>
  <c r="P221" i="6"/>
  <c r="R221" i="6" l="1"/>
  <c r="T221" i="6"/>
  <c r="S221" i="6"/>
  <c r="U221" i="6"/>
  <c r="Q221" i="6"/>
  <c r="V223" i="6"/>
  <c r="W222" i="6"/>
  <c r="O223" i="6"/>
  <c r="P222" i="6"/>
  <c r="U222" i="6" l="1"/>
  <c r="S222" i="6"/>
  <c r="R222" i="6"/>
  <c r="Q222" i="6"/>
  <c r="T222" i="6"/>
  <c r="V224" i="6"/>
  <c r="W223" i="6"/>
  <c r="P223" i="6"/>
  <c r="O224" i="6"/>
  <c r="U223" i="6" l="1"/>
  <c r="T223" i="6"/>
  <c r="R223" i="6"/>
  <c r="Q223" i="6"/>
  <c r="S223" i="6"/>
  <c r="V225" i="6"/>
  <c r="W224" i="6"/>
  <c r="P224" i="6"/>
  <c r="O225" i="6"/>
  <c r="S224" i="6" l="1"/>
  <c r="Q224" i="6"/>
  <c r="U224" i="6"/>
  <c r="T224" i="6"/>
  <c r="R224" i="6"/>
  <c r="V226" i="6"/>
  <c r="W225" i="6"/>
  <c r="O226" i="6"/>
  <c r="P225" i="6"/>
  <c r="T225" i="6" l="1"/>
  <c r="S225" i="6"/>
  <c r="R225" i="6"/>
  <c r="U225" i="6"/>
  <c r="Q225" i="6"/>
  <c r="V227" i="6"/>
  <c r="W226" i="6"/>
  <c r="O227" i="6"/>
  <c r="P226" i="6"/>
  <c r="Q226" i="6" l="1"/>
  <c r="U226" i="6"/>
  <c r="S226" i="6"/>
  <c r="R226" i="6"/>
  <c r="T226" i="6"/>
  <c r="V228" i="6"/>
  <c r="W227" i="6"/>
  <c r="P227" i="6"/>
  <c r="O228" i="6"/>
  <c r="T227" i="6" l="1"/>
  <c r="R227" i="6"/>
  <c r="Q227" i="6"/>
  <c r="U227" i="6"/>
  <c r="S227" i="6"/>
  <c r="V229" i="6"/>
  <c r="W228" i="6"/>
  <c r="P228" i="6"/>
  <c r="O229" i="6"/>
  <c r="U228" i="6" l="1"/>
  <c r="T228" i="6"/>
  <c r="S228" i="6"/>
  <c r="Q228" i="6"/>
  <c r="R228" i="6"/>
  <c r="V230" i="6"/>
  <c r="W229" i="6"/>
  <c r="O230" i="6"/>
  <c r="P229" i="6"/>
  <c r="R229" i="6" l="1"/>
  <c r="T229" i="6"/>
  <c r="S229" i="6"/>
  <c r="U229" i="6"/>
  <c r="Q229" i="6"/>
  <c r="V231" i="6"/>
  <c r="W230" i="6"/>
  <c r="O231" i="6"/>
  <c r="P230" i="6"/>
  <c r="U230" i="6" l="1"/>
  <c r="S230" i="6"/>
  <c r="R230" i="6"/>
  <c r="Q230" i="6"/>
  <c r="T230" i="6"/>
  <c r="V232" i="6"/>
  <c r="W231" i="6"/>
  <c r="O232" i="6"/>
  <c r="P231" i="6"/>
  <c r="U231" i="6" l="1"/>
  <c r="T231" i="6"/>
  <c r="R231" i="6"/>
  <c r="Q231" i="6"/>
  <c r="S231" i="6"/>
  <c r="V233" i="6"/>
  <c r="W232" i="6"/>
  <c r="O233" i="6"/>
  <c r="P232" i="6"/>
  <c r="S232" i="6" l="1"/>
  <c r="Q232" i="6"/>
  <c r="U232" i="6"/>
  <c r="T232" i="6"/>
  <c r="R232" i="6"/>
  <c r="V234" i="6"/>
  <c r="W233" i="6"/>
  <c r="P233" i="6"/>
  <c r="O234" i="6"/>
  <c r="T233" i="6" l="1"/>
  <c r="S233" i="6"/>
  <c r="R233" i="6"/>
  <c r="Q233" i="6"/>
  <c r="U233" i="6"/>
  <c r="V235" i="6"/>
  <c r="W234" i="6"/>
  <c r="P234" i="6"/>
  <c r="O235" i="6"/>
  <c r="V236" i="6" l="1"/>
  <c r="W235" i="6"/>
  <c r="O236" i="6"/>
  <c r="P235" i="6"/>
  <c r="Q235" i="6" l="1"/>
  <c r="U235" i="6"/>
  <c r="S235" i="6"/>
  <c r="R235" i="6"/>
  <c r="T235" i="6"/>
  <c r="V237" i="6"/>
  <c r="W236" i="6"/>
  <c r="O237" i="6"/>
  <c r="P236" i="6"/>
  <c r="V238" i="6" l="1"/>
  <c r="W237" i="6"/>
  <c r="P237" i="6"/>
  <c r="O238" i="6"/>
  <c r="T237" i="6" l="1"/>
  <c r="R237" i="6"/>
  <c r="Q237" i="6"/>
  <c r="U237" i="6"/>
  <c r="S237" i="6"/>
  <c r="V239" i="6"/>
  <c r="W238" i="6"/>
  <c r="O239" i="6"/>
  <c r="P238" i="6"/>
  <c r="U238" i="6" l="1"/>
  <c r="T238" i="6"/>
  <c r="S238" i="6"/>
  <c r="Q238" i="6"/>
  <c r="R238" i="6"/>
  <c r="V240" i="6"/>
  <c r="W239" i="6"/>
  <c r="O240" i="6"/>
  <c r="P239" i="6"/>
  <c r="R239" i="6" l="1"/>
  <c r="T239" i="6"/>
  <c r="S239" i="6"/>
  <c r="U239" i="6"/>
  <c r="Q239" i="6"/>
  <c r="V241" i="6"/>
  <c r="W240" i="6"/>
  <c r="P240" i="6"/>
  <c r="O241" i="6"/>
  <c r="U240" i="6" l="1"/>
  <c r="S240" i="6"/>
  <c r="R240" i="6"/>
  <c r="Q240" i="6"/>
  <c r="T240" i="6"/>
  <c r="V242" i="6"/>
  <c r="W241" i="6"/>
  <c r="P241" i="6"/>
  <c r="O242" i="6"/>
  <c r="U241" i="6" l="1"/>
  <c r="T241" i="6"/>
  <c r="R241" i="6"/>
  <c r="Q241" i="6"/>
  <c r="S241" i="6"/>
  <c r="V243" i="6"/>
  <c r="W242" i="6"/>
  <c r="O243" i="6"/>
  <c r="P242" i="6"/>
  <c r="S242" i="6" l="1"/>
  <c r="Q242" i="6"/>
  <c r="U242" i="6"/>
  <c r="T242" i="6"/>
  <c r="R242" i="6"/>
  <c r="V244" i="6"/>
  <c r="W243" i="6"/>
  <c r="O244" i="6"/>
  <c r="P243" i="6"/>
  <c r="T243" i="6" l="1"/>
  <c r="S243" i="6"/>
  <c r="R243" i="6"/>
  <c r="Q243" i="6"/>
  <c r="U243" i="6"/>
  <c r="V245" i="6"/>
  <c r="W244" i="6"/>
  <c r="P244" i="6"/>
  <c r="O245" i="6"/>
  <c r="Q244" i="6" l="1"/>
  <c r="U244" i="6"/>
  <c r="S244" i="6"/>
  <c r="R244" i="6"/>
  <c r="T244" i="6"/>
  <c r="V246" i="6"/>
  <c r="W245" i="6"/>
  <c r="P245" i="6"/>
  <c r="O246" i="6"/>
  <c r="T245" i="6" l="1"/>
  <c r="R245" i="6"/>
  <c r="Q245" i="6"/>
  <c r="U245" i="6"/>
  <c r="S245" i="6"/>
  <c r="V247" i="6"/>
  <c r="W246" i="6"/>
  <c r="O247" i="6"/>
  <c r="P246" i="6"/>
  <c r="U246" i="6" l="1"/>
  <c r="T246" i="6"/>
  <c r="S246" i="6"/>
  <c r="Q246" i="6"/>
  <c r="R246" i="6"/>
  <c r="V248" i="6"/>
  <c r="W247" i="6"/>
  <c r="O248" i="6"/>
  <c r="P247" i="6"/>
  <c r="R247" i="6" l="1"/>
  <c r="T247" i="6"/>
  <c r="S247" i="6"/>
  <c r="U247" i="6"/>
  <c r="Q247" i="6"/>
  <c r="V249" i="6"/>
  <c r="W248" i="6"/>
  <c r="P248" i="6"/>
  <c r="O249" i="6"/>
  <c r="U248" i="6" l="1"/>
  <c r="S248" i="6"/>
  <c r="R248" i="6"/>
  <c r="Q248" i="6"/>
  <c r="T248" i="6"/>
  <c r="V250" i="6"/>
  <c r="W249" i="6"/>
  <c r="P249" i="6"/>
  <c r="O250" i="6"/>
  <c r="U249" i="6" l="1"/>
  <c r="T249" i="6"/>
  <c r="R249" i="6"/>
  <c r="Q249" i="6"/>
  <c r="S249" i="6"/>
  <c r="V251" i="6"/>
  <c r="W250" i="6"/>
  <c r="O251" i="6"/>
  <c r="P250" i="6"/>
  <c r="S250" i="6" l="1"/>
  <c r="Q250" i="6"/>
  <c r="U250" i="6"/>
  <c r="T250" i="6"/>
  <c r="R250" i="6"/>
  <c r="V252" i="6"/>
  <c r="W251" i="6"/>
  <c r="O252" i="6"/>
  <c r="P251" i="6"/>
  <c r="T251" i="6" l="1"/>
  <c r="S251" i="6"/>
  <c r="R251" i="6"/>
  <c r="U251" i="6"/>
  <c r="Q251" i="6"/>
  <c r="V253" i="6"/>
  <c r="W252" i="6"/>
  <c r="P252" i="6"/>
  <c r="O253" i="6"/>
  <c r="Q252" i="6" l="1"/>
  <c r="U252" i="6"/>
  <c r="S252" i="6"/>
  <c r="R252" i="6"/>
  <c r="T252" i="6"/>
  <c r="V254" i="6"/>
  <c r="W253" i="6"/>
  <c r="O254" i="6"/>
  <c r="P253" i="6"/>
  <c r="T253" i="6" l="1"/>
  <c r="R253" i="6"/>
  <c r="Q253" i="6"/>
  <c r="U253" i="6"/>
  <c r="S253" i="6"/>
  <c r="V255" i="6"/>
  <c r="W254" i="6"/>
  <c r="O255" i="6"/>
  <c r="P254" i="6"/>
  <c r="U254" i="6" l="1"/>
  <c r="T254" i="6"/>
  <c r="S254" i="6"/>
  <c r="Q254" i="6"/>
  <c r="R254" i="6"/>
  <c r="V256" i="6"/>
  <c r="W255" i="6"/>
  <c r="P255" i="6"/>
  <c r="O256" i="6"/>
  <c r="R255" i="6" l="1"/>
  <c r="T255" i="6"/>
  <c r="S255" i="6"/>
  <c r="U255" i="6"/>
  <c r="Q255" i="6"/>
  <c r="V257" i="6"/>
  <c r="W256" i="6"/>
  <c r="P256" i="6"/>
  <c r="O257" i="6"/>
  <c r="U256" i="6" l="1"/>
  <c r="S256" i="6"/>
  <c r="R256" i="6"/>
  <c r="Q256" i="6"/>
  <c r="T256" i="6"/>
  <c r="V258" i="6"/>
  <c r="W257" i="6"/>
  <c r="O258" i="6"/>
  <c r="P257" i="6"/>
  <c r="U257" i="6" l="1"/>
  <c r="T257" i="6"/>
  <c r="R257" i="6"/>
  <c r="Q257" i="6"/>
  <c r="S257" i="6"/>
  <c r="V259" i="6"/>
  <c r="W258" i="6"/>
  <c r="O259" i="6"/>
  <c r="P258" i="6"/>
  <c r="S258" i="6" l="1"/>
  <c r="Q258" i="6"/>
  <c r="U258" i="6"/>
  <c r="T258" i="6"/>
  <c r="R258" i="6"/>
  <c r="V260" i="6"/>
  <c r="W259" i="6"/>
  <c r="P259" i="6"/>
  <c r="O260" i="6"/>
  <c r="T259" i="6" l="1"/>
  <c r="S259" i="6"/>
  <c r="R259" i="6"/>
  <c r="U259" i="6"/>
  <c r="Q259" i="6"/>
  <c r="V261" i="6"/>
  <c r="W260" i="6"/>
  <c r="P260" i="6"/>
  <c r="O261" i="6"/>
  <c r="Q260" i="6" l="1"/>
  <c r="U260" i="6"/>
  <c r="S260" i="6"/>
  <c r="R260" i="6"/>
  <c r="T260" i="6"/>
  <c r="V262" i="6"/>
  <c r="W261" i="6"/>
  <c r="O262" i="6"/>
  <c r="P261" i="6"/>
  <c r="T261" i="6" l="1"/>
  <c r="R261" i="6"/>
  <c r="Q261" i="6"/>
  <c r="U261" i="6"/>
  <c r="S261" i="6"/>
  <c r="V263" i="6"/>
  <c r="W262" i="6"/>
  <c r="O263" i="6"/>
  <c r="P262" i="6"/>
  <c r="U262" i="6" l="1"/>
  <c r="T262" i="6"/>
  <c r="S262" i="6"/>
  <c r="Q262" i="6"/>
  <c r="R262" i="6"/>
  <c r="V264" i="6"/>
  <c r="W263" i="6"/>
  <c r="O264" i="6"/>
  <c r="P263" i="6"/>
  <c r="R263" i="6" l="1"/>
  <c r="T263" i="6"/>
  <c r="S263" i="6"/>
  <c r="U263" i="6"/>
  <c r="Q263" i="6"/>
  <c r="V265" i="6"/>
  <c r="W264" i="6"/>
  <c r="O265" i="6"/>
  <c r="P264" i="6"/>
  <c r="U264" i="6" l="1"/>
  <c r="S264" i="6"/>
  <c r="R264" i="6"/>
  <c r="Q264" i="6"/>
  <c r="T264" i="6"/>
  <c r="V266" i="6"/>
  <c r="W265" i="6"/>
  <c r="P265" i="6"/>
  <c r="O266" i="6"/>
  <c r="U265" i="6" l="1"/>
  <c r="T265" i="6"/>
  <c r="R265" i="6"/>
  <c r="Q265" i="6"/>
  <c r="S265" i="6"/>
  <c r="V267" i="6"/>
  <c r="W266" i="6"/>
  <c r="P266" i="6"/>
  <c r="O267" i="6"/>
  <c r="S266" i="6" l="1"/>
  <c r="Q266" i="6"/>
  <c r="U266" i="6"/>
  <c r="T266" i="6"/>
  <c r="R266" i="6"/>
  <c r="V268" i="6"/>
  <c r="W267" i="6"/>
  <c r="O268" i="6"/>
  <c r="P267" i="6"/>
  <c r="T267" i="6" l="1"/>
  <c r="S267" i="6"/>
  <c r="R267" i="6"/>
  <c r="Q267" i="6"/>
  <c r="U267" i="6"/>
  <c r="V269" i="6"/>
  <c r="W268" i="6"/>
  <c r="O269" i="6"/>
  <c r="P268" i="6"/>
  <c r="Q268" i="6" l="1"/>
  <c r="U268" i="6"/>
  <c r="S268" i="6"/>
  <c r="R268" i="6"/>
  <c r="T268" i="6"/>
  <c r="V270" i="6"/>
  <c r="W269" i="6"/>
  <c r="P269" i="6"/>
  <c r="O270" i="6"/>
  <c r="T269" i="6" l="1"/>
  <c r="R269" i="6"/>
  <c r="Q269" i="6"/>
  <c r="U269" i="6"/>
  <c r="S269" i="6"/>
  <c r="V271" i="6"/>
  <c r="W270" i="6"/>
  <c r="O271" i="6"/>
  <c r="P270" i="6"/>
  <c r="U270" i="6" l="1"/>
  <c r="T270" i="6"/>
  <c r="S270" i="6"/>
  <c r="Q270" i="6"/>
  <c r="R270" i="6"/>
  <c r="V272" i="6"/>
  <c r="W271" i="6"/>
  <c r="O272" i="6"/>
  <c r="P271" i="6"/>
  <c r="R271" i="6" l="1"/>
  <c r="T271" i="6"/>
  <c r="S271" i="6"/>
  <c r="U271" i="6"/>
  <c r="Q271" i="6"/>
  <c r="V273" i="6"/>
  <c r="W272" i="6"/>
  <c r="P272" i="6"/>
  <c r="O273" i="6"/>
  <c r="U272" i="6" l="1"/>
  <c r="S272" i="6"/>
  <c r="R272" i="6"/>
  <c r="Q272" i="6"/>
  <c r="T272" i="6"/>
  <c r="V274" i="6"/>
  <c r="W273" i="6"/>
  <c r="P273" i="6"/>
  <c r="O274" i="6"/>
  <c r="U273" i="6" l="1"/>
  <c r="T273" i="6"/>
  <c r="R273" i="6"/>
  <c r="Q273" i="6"/>
  <c r="S273" i="6"/>
  <c r="V275" i="6"/>
  <c r="W274" i="6"/>
  <c r="O275" i="6"/>
  <c r="P274" i="6"/>
  <c r="S274" i="6" l="1"/>
  <c r="Q274" i="6"/>
  <c r="U274" i="6"/>
  <c r="T274" i="6"/>
  <c r="R274" i="6"/>
  <c r="V276" i="6"/>
  <c r="W275" i="6"/>
  <c r="O276" i="6"/>
  <c r="P275" i="6"/>
  <c r="T275" i="6" l="1"/>
  <c r="S275" i="6"/>
  <c r="R275" i="6"/>
  <c r="Q275" i="6"/>
  <c r="U275" i="6"/>
  <c r="V277" i="6"/>
  <c r="W276" i="6"/>
  <c r="P276" i="6"/>
  <c r="O277" i="6"/>
  <c r="V278" i="6" l="1"/>
  <c r="W277" i="6"/>
  <c r="P277" i="6"/>
  <c r="O278" i="6"/>
  <c r="V279" i="6" l="1"/>
  <c r="W278" i="6"/>
  <c r="O279" i="6"/>
  <c r="P278" i="6"/>
  <c r="V280" i="6" l="1"/>
  <c r="W279" i="6"/>
  <c r="O280" i="6"/>
  <c r="P279" i="6"/>
  <c r="V281" i="6" l="1"/>
  <c r="W280" i="6"/>
  <c r="P280" i="6"/>
  <c r="O281" i="6"/>
  <c r="V282" i="6" l="1"/>
  <c r="W281" i="6"/>
  <c r="P281" i="6"/>
  <c r="O282" i="6"/>
  <c r="Q281" i="6" l="1"/>
  <c r="U281" i="6"/>
  <c r="S281" i="6"/>
  <c r="R281" i="6"/>
  <c r="T281" i="6"/>
  <c r="V283" i="6"/>
  <c r="W282" i="6"/>
  <c r="O283" i="6"/>
  <c r="P282" i="6"/>
  <c r="T282" i="6" l="1"/>
  <c r="R282" i="6"/>
  <c r="Q282" i="6"/>
  <c r="U282" i="6"/>
  <c r="S282" i="6"/>
  <c r="V284" i="6"/>
  <c r="W283" i="6"/>
  <c r="O284" i="6"/>
  <c r="P283" i="6"/>
  <c r="U283" i="6" l="1"/>
  <c r="T283" i="6"/>
  <c r="S283" i="6"/>
  <c r="Q283" i="6"/>
  <c r="R283" i="6"/>
  <c r="V285" i="6"/>
  <c r="W284" i="6"/>
  <c r="P284" i="6"/>
  <c r="O285" i="6"/>
  <c r="R284" i="6" l="1"/>
  <c r="T284" i="6"/>
  <c r="S284" i="6"/>
  <c r="U284" i="6"/>
  <c r="Q284" i="6"/>
  <c r="V286" i="6"/>
  <c r="W285" i="6"/>
  <c r="P285" i="6"/>
  <c r="O286" i="6"/>
  <c r="U285" i="6" l="1"/>
  <c r="S285" i="6"/>
  <c r="R285" i="6"/>
  <c r="Q285" i="6"/>
  <c r="T285" i="6"/>
  <c r="V287" i="6"/>
  <c r="W286" i="6"/>
  <c r="O287" i="6"/>
  <c r="P286" i="6"/>
  <c r="U286" i="6" l="1"/>
  <c r="T286" i="6"/>
  <c r="R286" i="6"/>
  <c r="Q286" i="6"/>
  <c r="S286" i="6"/>
  <c r="V288" i="6"/>
  <c r="W287" i="6"/>
  <c r="O288" i="6"/>
  <c r="P287" i="6"/>
  <c r="S287" i="6" l="1"/>
  <c r="Q287" i="6"/>
  <c r="U287" i="6"/>
  <c r="T287" i="6"/>
  <c r="R287" i="6"/>
  <c r="V289" i="6"/>
  <c r="W288" i="6"/>
  <c r="P288" i="6"/>
  <c r="O289" i="6"/>
  <c r="T288" i="6" l="1"/>
  <c r="S288" i="6"/>
  <c r="R288" i="6"/>
  <c r="U288" i="6"/>
  <c r="Q288" i="6"/>
  <c r="V290" i="6"/>
  <c r="W289" i="6"/>
  <c r="P289" i="6"/>
  <c r="O290" i="6"/>
  <c r="Q289" i="6" l="1"/>
  <c r="U289" i="6"/>
  <c r="S289" i="6"/>
  <c r="R289" i="6"/>
  <c r="T289" i="6"/>
  <c r="V291" i="6"/>
  <c r="W290" i="6"/>
  <c r="O291" i="6"/>
  <c r="P290" i="6"/>
  <c r="T290" i="6" l="1"/>
  <c r="R290" i="6"/>
  <c r="Q290" i="6"/>
  <c r="U290" i="6"/>
  <c r="S290" i="6"/>
  <c r="V292" i="6"/>
  <c r="W291" i="6"/>
  <c r="O292" i="6"/>
  <c r="P291" i="6"/>
  <c r="U291" i="6" l="1"/>
  <c r="T291" i="6"/>
  <c r="S291" i="6"/>
  <c r="Q291" i="6"/>
  <c r="R291" i="6"/>
  <c r="V293" i="6"/>
  <c r="W292" i="6"/>
  <c r="O293" i="6"/>
  <c r="P292" i="6"/>
  <c r="R292" i="6" l="1"/>
  <c r="T292" i="6"/>
  <c r="S292" i="6"/>
  <c r="U292" i="6"/>
  <c r="Q292" i="6"/>
  <c r="V294" i="6"/>
  <c r="W293" i="6"/>
  <c r="P293" i="6"/>
  <c r="O294" i="6"/>
  <c r="U293" i="6" l="1"/>
  <c r="S293" i="6"/>
  <c r="R293" i="6"/>
  <c r="Q293" i="6"/>
  <c r="T293" i="6"/>
  <c r="V295" i="6"/>
  <c r="W294" i="6"/>
  <c r="O295" i="6"/>
  <c r="P294" i="6"/>
  <c r="U294" i="6" l="1"/>
  <c r="T294" i="6"/>
  <c r="S294" i="6"/>
  <c r="R294" i="6"/>
  <c r="Q294" i="6"/>
  <c r="V296" i="6"/>
  <c r="W295" i="6"/>
  <c r="O296" i="6"/>
  <c r="P295" i="6"/>
  <c r="S295" i="6" l="1"/>
  <c r="R295" i="6"/>
  <c r="Q295" i="6"/>
  <c r="U295" i="6"/>
  <c r="T295" i="6"/>
  <c r="V297" i="6"/>
  <c r="W296" i="6"/>
  <c r="O297" i="6"/>
  <c r="P296" i="6"/>
  <c r="U296" i="6" l="1"/>
  <c r="T296" i="6"/>
  <c r="S296" i="6"/>
  <c r="R296" i="6"/>
  <c r="Q296" i="6"/>
  <c r="V298" i="6"/>
  <c r="W297" i="6"/>
  <c r="P297" i="6"/>
  <c r="O298" i="6"/>
  <c r="Q297" i="6" l="1"/>
  <c r="U297" i="6"/>
  <c r="T297" i="6"/>
  <c r="S297" i="6"/>
  <c r="R297" i="6"/>
  <c r="V299" i="6"/>
  <c r="W298" i="6"/>
  <c r="O299" i="6"/>
  <c r="P298" i="6"/>
  <c r="T298" i="6" l="1"/>
  <c r="S298" i="6"/>
  <c r="R298" i="6"/>
  <c r="Q298" i="6"/>
  <c r="U298" i="6"/>
  <c r="V300" i="6"/>
  <c r="W299" i="6"/>
  <c r="O300" i="6"/>
  <c r="P299" i="6"/>
  <c r="U299" i="6" l="1"/>
  <c r="T299" i="6"/>
  <c r="S299" i="6"/>
  <c r="R299" i="6"/>
  <c r="Q299" i="6"/>
  <c r="V301" i="6"/>
  <c r="W300" i="6"/>
  <c r="P300" i="6"/>
  <c r="O301" i="6"/>
  <c r="R300" i="6" l="1"/>
  <c r="Q300" i="6"/>
  <c r="U300" i="6"/>
  <c r="T300" i="6"/>
  <c r="S300" i="6"/>
  <c r="V302" i="6"/>
  <c r="W301" i="6"/>
  <c r="P301" i="6"/>
  <c r="O302" i="6"/>
  <c r="U301" i="6" l="1"/>
  <c r="T301" i="6"/>
  <c r="S301" i="6"/>
  <c r="R301" i="6"/>
  <c r="Q301" i="6"/>
  <c r="V303" i="6"/>
  <c r="W302" i="6"/>
  <c r="O303" i="6"/>
  <c r="P302" i="6"/>
  <c r="U302" i="6" l="1"/>
  <c r="T302" i="6"/>
  <c r="S302" i="6"/>
  <c r="R302" i="6"/>
  <c r="Q302" i="6"/>
  <c r="V304" i="6"/>
  <c r="W303" i="6"/>
  <c r="O304" i="6"/>
  <c r="P303" i="6"/>
  <c r="S303" i="6" l="1"/>
  <c r="R303" i="6"/>
  <c r="Q303" i="6"/>
  <c r="U303" i="6"/>
  <c r="T303" i="6"/>
  <c r="V305" i="6"/>
  <c r="W304" i="6"/>
  <c r="P304" i="6"/>
  <c r="O305" i="6"/>
  <c r="U304" i="6" l="1"/>
  <c r="T304" i="6"/>
  <c r="S304" i="6"/>
  <c r="R304" i="6"/>
  <c r="Q304" i="6"/>
  <c r="V306" i="6"/>
  <c r="W305" i="6"/>
  <c r="P305" i="6"/>
  <c r="O306" i="6"/>
  <c r="Q305" i="6" l="1"/>
  <c r="U305" i="6"/>
  <c r="T305" i="6"/>
  <c r="S305" i="6"/>
  <c r="R305" i="6"/>
  <c r="V307" i="6"/>
  <c r="W306" i="6"/>
  <c r="O307" i="6"/>
  <c r="P306" i="6"/>
  <c r="T306" i="6" l="1"/>
  <c r="S306" i="6"/>
  <c r="R306" i="6"/>
  <c r="Q306" i="6"/>
  <c r="U306" i="6"/>
  <c r="V308" i="6"/>
  <c r="W307" i="6"/>
  <c r="O308" i="6"/>
  <c r="P307" i="6"/>
  <c r="U307" i="6" l="1"/>
  <c r="T307" i="6"/>
  <c r="S307" i="6"/>
  <c r="R307" i="6"/>
  <c r="Q307" i="6"/>
  <c r="V309" i="6"/>
  <c r="W308" i="6"/>
  <c r="P308" i="6"/>
  <c r="O309" i="6"/>
  <c r="R308" i="6" l="1"/>
  <c r="Q308" i="6"/>
  <c r="U308" i="6"/>
  <c r="T308" i="6"/>
  <c r="S308" i="6"/>
  <c r="V310" i="6"/>
  <c r="W309" i="6"/>
  <c r="P309" i="6"/>
  <c r="O310" i="6"/>
  <c r="U309" i="6" l="1"/>
  <c r="T309" i="6"/>
  <c r="S309" i="6"/>
  <c r="R309" i="6"/>
  <c r="Q309" i="6"/>
  <c r="V311" i="6"/>
  <c r="W310" i="6"/>
  <c r="O311" i="6"/>
  <c r="P310" i="6"/>
  <c r="U310" i="6" l="1"/>
  <c r="T310" i="6"/>
  <c r="S310" i="6"/>
  <c r="R310" i="6"/>
  <c r="Q310" i="6"/>
  <c r="V312" i="6"/>
  <c r="W311" i="6"/>
  <c r="O312" i="6"/>
  <c r="P311" i="6"/>
  <c r="S311" i="6" l="1"/>
  <c r="R311" i="6"/>
  <c r="Q311" i="6"/>
  <c r="U311" i="6"/>
  <c r="T311" i="6"/>
  <c r="V313" i="6"/>
  <c r="W312" i="6"/>
  <c r="P312" i="6"/>
  <c r="O313" i="6"/>
  <c r="U312" i="6" l="1"/>
  <c r="T312" i="6"/>
  <c r="S312" i="6"/>
  <c r="R312" i="6"/>
  <c r="Q312" i="6"/>
  <c r="V314" i="6"/>
  <c r="W313" i="6"/>
  <c r="O314" i="6"/>
  <c r="P313" i="6"/>
  <c r="Q313" i="6" l="1"/>
  <c r="U313" i="6"/>
  <c r="T313" i="6"/>
  <c r="S313" i="6"/>
  <c r="R313" i="6"/>
  <c r="V315" i="6"/>
  <c r="W314" i="6"/>
  <c r="P314" i="6"/>
  <c r="O315" i="6"/>
  <c r="T314" i="6" l="1"/>
  <c r="S314" i="6"/>
  <c r="R314" i="6"/>
  <c r="Q314" i="6"/>
  <c r="U314" i="6"/>
  <c r="V316" i="6"/>
  <c r="W315" i="6"/>
  <c r="P315" i="6"/>
  <c r="O316" i="6"/>
  <c r="U315" i="6" l="1"/>
  <c r="T315" i="6"/>
  <c r="S315" i="6"/>
  <c r="R315" i="6"/>
  <c r="Q315" i="6"/>
  <c r="V317" i="6"/>
  <c r="W316" i="6"/>
  <c r="O317" i="6"/>
  <c r="P316" i="6"/>
  <c r="R316" i="6" l="1"/>
  <c r="Q316" i="6"/>
  <c r="U316" i="6"/>
  <c r="T316" i="6"/>
  <c r="S316" i="6"/>
  <c r="V318" i="6"/>
  <c r="W317" i="6"/>
  <c r="O318" i="6"/>
  <c r="P317" i="6"/>
  <c r="U317" i="6" l="1"/>
  <c r="T317" i="6"/>
  <c r="S317" i="6"/>
  <c r="R317" i="6"/>
  <c r="Q317" i="6"/>
  <c r="V319" i="6"/>
  <c r="W318" i="6"/>
  <c r="P318" i="6"/>
  <c r="O319" i="6"/>
  <c r="U318" i="6" l="1"/>
  <c r="T318" i="6"/>
  <c r="S318" i="6"/>
  <c r="R318" i="6"/>
  <c r="Q318" i="6"/>
  <c r="V320" i="6"/>
  <c r="W319" i="6"/>
  <c r="P319" i="6"/>
  <c r="O320" i="6"/>
  <c r="S319" i="6" l="1"/>
  <c r="R319" i="6"/>
  <c r="Q319" i="6"/>
  <c r="U319" i="6"/>
  <c r="T319" i="6"/>
  <c r="V321" i="6"/>
  <c r="W320" i="6"/>
  <c r="O321" i="6"/>
  <c r="P320" i="6"/>
  <c r="U320" i="6" l="1"/>
  <c r="T320" i="6"/>
  <c r="S320" i="6"/>
  <c r="R320" i="6"/>
  <c r="Q320" i="6"/>
  <c r="V322" i="6"/>
  <c r="W321" i="6"/>
  <c r="O322" i="6"/>
  <c r="P321" i="6"/>
  <c r="Q321" i="6" l="1"/>
  <c r="U321" i="6"/>
  <c r="T321" i="6"/>
  <c r="S321" i="6"/>
  <c r="R321" i="6"/>
  <c r="V323" i="6"/>
  <c r="W322" i="6"/>
  <c r="O323" i="6"/>
  <c r="P322" i="6"/>
  <c r="T322" i="6" l="1"/>
  <c r="S322" i="6"/>
  <c r="R322" i="6"/>
  <c r="Q322" i="6"/>
  <c r="U322" i="6"/>
  <c r="V324" i="6"/>
  <c r="W323" i="6"/>
  <c r="O324" i="6"/>
  <c r="P323" i="6"/>
  <c r="U323" i="6" l="1"/>
  <c r="T323" i="6"/>
  <c r="S323" i="6"/>
  <c r="R323" i="6"/>
  <c r="Q323" i="6"/>
  <c r="V325" i="6"/>
  <c r="W324" i="6"/>
  <c r="P324" i="6"/>
  <c r="O325" i="6"/>
  <c r="R324" i="6" l="1"/>
  <c r="Q324" i="6"/>
  <c r="U324" i="6"/>
  <c r="T324" i="6"/>
  <c r="S324" i="6"/>
  <c r="V326" i="6"/>
  <c r="W325" i="6"/>
  <c r="O326" i="6"/>
  <c r="P325" i="6"/>
  <c r="U325" i="6" l="1"/>
  <c r="T325" i="6"/>
  <c r="S325" i="6"/>
  <c r="R325" i="6"/>
  <c r="Q325" i="6"/>
  <c r="V327" i="6"/>
  <c r="W326" i="6"/>
  <c r="P326" i="6"/>
  <c r="O327" i="6"/>
  <c r="U326" i="6" l="1"/>
  <c r="T326" i="6"/>
  <c r="S326" i="6"/>
  <c r="R326" i="6"/>
  <c r="Q326" i="6"/>
  <c r="V328" i="6"/>
  <c r="W327" i="6"/>
  <c r="O328" i="6"/>
  <c r="P327" i="6"/>
  <c r="S327" i="6" l="1"/>
  <c r="R327" i="6"/>
  <c r="Q327" i="6"/>
  <c r="U327" i="6"/>
  <c r="T327" i="6"/>
  <c r="V329" i="6"/>
  <c r="W328" i="6"/>
  <c r="O329" i="6"/>
  <c r="P328" i="6"/>
  <c r="U328" i="6" l="1"/>
  <c r="T328" i="6"/>
  <c r="S328" i="6"/>
  <c r="R328" i="6"/>
  <c r="Q328" i="6"/>
  <c r="V330" i="6"/>
  <c r="W329" i="6"/>
  <c r="P329" i="6"/>
  <c r="O330" i="6"/>
  <c r="Q329" i="6" l="1"/>
  <c r="U329" i="6"/>
  <c r="T329" i="6"/>
  <c r="S329" i="6"/>
  <c r="R329" i="6"/>
  <c r="V331" i="6"/>
  <c r="W330" i="6"/>
  <c r="O331" i="6"/>
  <c r="P330" i="6"/>
  <c r="T330" i="6" l="1"/>
  <c r="S330" i="6"/>
  <c r="R330" i="6"/>
  <c r="Q330" i="6"/>
  <c r="U330" i="6"/>
  <c r="V332" i="6"/>
  <c r="W331" i="6"/>
  <c r="O332" i="6"/>
  <c r="P331" i="6"/>
  <c r="U331" i="6" l="1"/>
  <c r="T331" i="6"/>
  <c r="S331" i="6"/>
  <c r="R331" i="6"/>
  <c r="Q331" i="6"/>
  <c r="V333" i="6"/>
  <c r="W332" i="6"/>
  <c r="P332" i="6"/>
  <c r="O333" i="6"/>
  <c r="V334" i="6" l="1"/>
  <c r="W333" i="6"/>
  <c r="P333" i="6"/>
  <c r="O334" i="6"/>
  <c r="R333" i="6" l="1"/>
  <c r="Q333" i="6"/>
  <c r="U333" i="6"/>
  <c r="T333" i="6"/>
  <c r="S333" i="6"/>
  <c r="V335" i="6"/>
  <c r="W334" i="6"/>
  <c r="O335" i="6"/>
  <c r="P334" i="6"/>
  <c r="U334" i="6" l="1"/>
  <c r="T334" i="6"/>
  <c r="S334" i="6"/>
  <c r="R334" i="6"/>
  <c r="Q334" i="6"/>
  <c r="V336" i="6"/>
  <c r="W335" i="6"/>
  <c r="O336" i="6"/>
  <c r="P335" i="6"/>
  <c r="U335" i="6" l="1"/>
  <c r="T335" i="6"/>
  <c r="S335" i="6"/>
  <c r="R335" i="6"/>
  <c r="Q335" i="6"/>
  <c r="V337" i="6"/>
  <c r="W336" i="6"/>
  <c r="P336" i="6"/>
  <c r="O337" i="6"/>
  <c r="S336" i="6" l="1"/>
  <c r="R336" i="6"/>
  <c r="Q336" i="6"/>
  <c r="U336" i="6"/>
  <c r="T336" i="6"/>
  <c r="V338" i="6"/>
  <c r="W337" i="6"/>
  <c r="P337" i="6"/>
  <c r="O338" i="6"/>
  <c r="U337" i="6" l="1"/>
  <c r="T337" i="6"/>
  <c r="S337" i="6"/>
  <c r="R337" i="6"/>
  <c r="Q337" i="6"/>
  <c r="V339" i="6"/>
  <c r="W338" i="6"/>
  <c r="O339" i="6"/>
  <c r="P338" i="6"/>
  <c r="Q338" i="6" l="1"/>
  <c r="U338" i="6"/>
  <c r="T338" i="6"/>
  <c r="S338" i="6"/>
  <c r="R338" i="6"/>
  <c r="V340" i="6"/>
  <c r="W339" i="6"/>
  <c r="P339" i="6"/>
  <c r="O340" i="6"/>
  <c r="T339" i="6" l="1"/>
  <c r="S339" i="6"/>
  <c r="R339" i="6"/>
  <c r="Q339" i="6"/>
  <c r="U339" i="6"/>
  <c r="V341" i="6"/>
  <c r="W340" i="6"/>
  <c r="P340" i="6"/>
  <c r="O341" i="6"/>
  <c r="U340" i="6" l="1"/>
  <c r="T340" i="6"/>
  <c r="S340" i="6"/>
  <c r="R340" i="6"/>
  <c r="Q340" i="6"/>
  <c r="V342" i="6"/>
  <c r="W341" i="6"/>
  <c r="O342" i="6"/>
  <c r="P341" i="6"/>
  <c r="R341" i="6" l="1"/>
  <c r="Q341" i="6"/>
  <c r="U341" i="6"/>
  <c r="T341" i="6"/>
  <c r="S341" i="6"/>
  <c r="V343" i="6"/>
  <c r="W342" i="6"/>
  <c r="O343" i="6"/>
  <c r="P342" i="6"/>
  <c r="U342" i="6" l="1"/>
  <c r="T342" i="6"/>
  <c r="S342" i="6"/>
  <c r="R342" i="6"/>
  <c r="Q342" i="6"/>
  <c r="V344" i="6"/>
  <c r="W343" i="6"/>
  <c r="P343" i="6"/>
  <c r="O344" i="6"/>
  <c r="U343" i="6" l="1"/>
  <c r="T343" i="6"/>
  <c r="S343" i="6"/>
  <c r="R343" i="6"/>
  <c r="Q343" i="6"/>
  <c r="P344" i="6"/>
  <c r="V345" i="6"/>
  <c r="W344" i="6"/>
  <c r="O345" i="6"/>
  <c r="S344" i="6" l="1"/>
  <c r="R344" i="6"/>
  <c r="Q344" i="6"/>
  <c r="U344" i="6"/>
  <c r="T344" i="6"/>
  <c r="V346" i="6"/>
  <c r="W345" i="6"/>
  <c r="P345" i="6"/>
  <c r="O346" i="6"/>
  <c r="U345" i="6" l="1"/>
  <c r="T345" i="6"/>
  <c r="S345" i="6"/>
  <c r="R345" i="6"/>
  <c r="Q345" i="6"/>
  <c r="V347" i="6"/>
  <c r="W346" i="6"/>
  <c r="P346" i="6"/>
  <c r="O347" i="6"/>
  <c r="Q346" i="6" l="1"/>
  <c r="U346" i="6"/>
  <c r="U400" i="6" s="1"/>
  <c r="T346" i="6"/>
  <c r="T400" i="6" s="1"/>
  <c r="S346" i="6"/>
  <c r="S400" i="6" s="1"/>
  <c r="R346" i="6"/>
  <c r="V348" i="6"/>
  <c r="W347" i="6"/>
  <c r="P347" i="6"/>
  <c r="O348" i="6"/>
  <c r="R347" i="6" l="1"/>
  <c r="Q347" i="6"/>
  <c r="V349" i="6"/>
  <c r="W348" i="6"/>
  <c r="P348" i="6"/>
  <c r="O349" i="6"/>
  <c r="R348" i="6" l="1"/>
  <c r="Q348" i="6"/>
  <c r="V350" i="6"/>
  <c r="W349" i="6"/>
  <c r="P349" i="6"/>
  <c r="O350" i="6"/>
  <c r="R349" i="6" l="1"/>
  <c r="Q349" i="6"/>
  <c r="V351" i="6"/>
  <c r="W350" i="6"/>
  <c r="P350" i="6"/>
  <c r="O351" i="6"/>
  <c r="R350" i="6" l="1"/>
  <c r="Q350" i="6"/>
  <c r="V352" i="6"/>
  <c r="W351" i="6"/>
  <c r="P351" i="6"/>
  <c r="O352" i="6"/>
  <c r="R351" i="6" l="1"/>
  <c r="Q351" i="6"/>
  <c r="V353" i="6"/>
  <c r="W352" i="6"/>
  <c r="P352" i="6"/>
  <c r="O353" i="6"/>
  <c r="R352" i="6" l="1"/>
  <c r="Q352" i="6"/>
  <c r="V354" i="6"/>
  <c r="W353" i="6"/>
  <c r="P353" i="6"/>
  <c r="O354" i="6"/>
  <c r="R353" i="6" l="1"/>
  <c r="Q353" i="6"/>
  <c r="V355" i="6"/>
  <c r="W354" i="6"/>
  <c r="P354" i="6"/>
  <c r="O355" i="6"/>
  <c r="R354" i="6" l="1"/>
  <c r="Q354" i="6"/>
  <c r="V356" i="6"/>
  <c r="W355" i="6"/>
  <c r="P355" i="6"/>
  <c r="O356" i="6"/>
  <c r="R355" i="6" l="1"/>
  <c r="Q355" i="6"/>
  <c r="V357" i="6"/>
  <c r="W356" i="6"/>
  <c r="O357" i="6"/>
  <c r="P356" i="6"/>
  <c r="R356" i="6" l="1"/>
  <c r="R400" i="6" s="1"/>
  <c r="Q356" i="6"/>
  <c r="Q400" i="6" s="1"/>
  <c r="V358" i="6"/>
  <c r="W357" i="6"/>
  <c r="O358" i="6"/>
  <c r="P357" i="6"/>
  <c r="V359" i="6" l="1"/>
  <c r="W358" i="6"/>
  <c r="O359" i="6"/>
  <c r="P358" i="6"/>
  <c r="V360" i="6" l="1"/>
  <c r="W359" i="6"/>
  <c r="P359" i="6"/>
  <c r="O360" i="6"/>
  <c r="V361" i="6" l="1"/>
  <c r="W360" i="6"/>
  <c r="O361" i="6"/>
  <c r="P360" i="6"/>
  <c r="V362" i="6" l="1"/>
  <c r="W361" i="6"/>
  <c r="O362" i="6"/>
  <c r="P361" i="6"/>
  <c r="V363" i="6" l="1"/>
  <c r="W362" i="6"/>
  <c r="O363" i="6"/>
  <c r="P362" i="6"/>
  <c r="V364" i="6" l="1"/>
  <c r="W363" i="6"/>
  <c r="O364" i="6"/>
  <c r="P363" i="6"/>
  <c r="V365" i="6" l="1"/>
  <c r="W364" i="6"/>
  <c r="P364" i="6"/>
  <c r="O365" i="6"/>
  <c r="V366" i="6" l="1"/>
  <c r="W365" i="6"/>
  <c r="P365" i="6"/>
  <c r="O366" i="6"/>
  <c r="V367" i="6" l="1"/>
  <c r="W366" i="6"/>
  <c r="O367" i="6"/>
  <c r="P366" i="6"/>
  <c r="V368" i="6" l="1"/>
  <c r="W367" i="6"/>
  <c r="P367" i="6"/>
  <c r="O368" i="6"/>
  <c r="V369" i="6" l="1"/>
  <c r="W368" i="6"/>
  <c r="O369" i="6"/>
  <c r="P368" i="6"/>
  <c r="V370" i="6" l="1"/>
  <c r="W369" i="6"/>
  <c r="P369" i="6"/>
  <c r="O370" i="6"/>
  <c r="V371" i="6" l="1"/>
  <c r="W370" i="6"/>
  <c r="O371" i="6"/>
  <c r="P370" i="6"/>
  <c r="V372" i="6" l="1"/>
  <c r="W371" i="6"/>
  <c r="P371" i="6"/>
  <c r="O372" i="6"/>
  <c r="V373" i="6" l="1"/>
  <c r="W372" i="6"/>
  <c r="O373" i="6"/>
  <c r="P372" i="6"/>
  <c r="V374" i="6" l="1"/>
  <c r="W373" i="6"/>
  <c r="P373" i="6"/>
  <c r="O374" i="6"/>
  <c r="V375" i="6" l="1"/>
  <c r="W374" i="6"/>
  <c r="O375" i="6"/>
  <c r="P374" i="6"/>
  <c r="V376" i="6" l="1"/>
  <c r="W375" i="6"/>
  <c r="P375" i="6"/>
  <c r="O376" i="6"/>
  <c r="V377" i="6" l="1"/>
  <c r="W376" i="6"/>
  <c r="O377" i="6"/>
  <c r="P376" i="6"/>
  <c r="V378" i="6" l="1"/>
  <c r="W377" i="6"/>
  <c r="P377" i="6"/>
  <c r="O378" i="6"/>
  <c r="V379" i="6" l="1"/>
  <c r="W378" i="6"/>
  <c r="O379" i="6"/>
  <c r="P378" i="6"/>
  <c r="V380" i="6" l="1"/>
  <c r="W379" i="6"/>
  <c r="P379" i="6"/>
  <c r="O380" i="6"/>
  <c r="V381" i="6" l="1"/>
  <c r="W380" i="6"/>
  <c r="O381" i="6"/>
  <c r="P380" i="6"/>
  <c r="V382" i="6" l="1"/>
  <c r="W381" i="6"/>
  <c r="P381" i="6"/>
  <c r="O382" i="6"/>
  <c r="V383" i="6" l="1"/>
  <c r="W382" i="6"/>
  <c r="O383" i="6"/>
  <c r="P382" i="6"/>
  <c r="V384" i="6" l="1"/>
  <c r="W383" i="6"/>
  <c r="P383" i="6"/>
  <c r="O384" i="6"/>
  <c r="V385" i="6" l="1"/>
  <c r="W384" i="6"/>
  <c r="O385" i="6"/>
  <c r="P384" i="6"/>
  <c r="V386" i="6" l="1"/>
  <c r="W385" i="6"/>
  <c r="P385" i="6"/>
  <c r="O386" i="6"/>
  <c r="V387" i="6" l="1"/>
  <c r="W386" i="6"/>
  <c r="O387" i="6"/>
  <c r="P386" i="6"/>
  <c r="V388" i="6" l="1"/>
  <c r="W387" i="6"/>
  <c r="P387" i="6"/>
  <c r="O388" i="6"/>
  <c r="V389" i="6" l="1"/>
  <c r="W388" i="6"/>
  <c r="O389" i="6"/>
  <c r="P388" i="6"/>
  <c r="V390" i="6" l="1"/>
  <c r="W389" i="6"/>
  <c r="P389" i="6"/>
  <c r="O390" i="6"/>
  <c r="V391" i="6" l="1"/>
  <c r="W390" i="6"/>
  <c r="O391" i="6"/>
  <c r="P390" i="6"/>
  <c r="V392" i="6" l="1"/>
  <c r="W391" i="6"/>
  <c r="P391" i="6"/>
  <c r="O392" i="6"/>
  <c r="V393" i="6" l="1"/>
  <c r="W392" i="6"/>
  <c r="O393" i="6"/>
  <c r="P392" i="6"/>
  <c r="V394" i="6" l="1"/>
  <c r="W393" i="6"/>
  <c r="P393" i="6"/>
  <c r="O394" i="6"/>
  <c r="V395" i="6" l="1"/>
  <c r="W394" i="6"/>
  <c r="O395" i="6"/>
  <c r="P394" i="6"/>
  <c r="V396" i="6" l="1"/>
  <c r="W395" i="6"/>
  <c r="P395" i="6"/>
  <c r="O396" i="6"/>
  <c r="V397" i="6" l="1"/>
  <c r="W396" i="6"/>
  <c r="O397" i="6"/>
  <c r="P396" i="6"/>
  <c r="V398" i="6" l="1"/>
  <c r="W397" i="6"/>
  <c r="P397" i="6"/>
  <c r="O398" i="6"/>
  <c r="P398" i="6" s="1"/>
  <c r="V399" i="6" l="1"/>
  <c r="W399" i="6" s="1"/>
  <c r="W398" i="6"/>
  <c r="AC36" i="1"/>
  <c r="AC25" i="1"/>
  <c r="AC14" i="1"/>
  <c r="V25" i="1"/>
  <c r="V36" i="1"/>
  <c r="V14" i="1"/>
  <c r="O36" i="1"/>
  <c r="O25" i="1"/>
  <c r="O14" i="1"/>
  <c r="H14" i="1"/>
  <c r="H14" i="2"/>
  <c r="V14" i="2"/>
  <c r="H25" i="2"/>
  <c r="V25" i="2"/>
  <c r="H36" i="2"/>
  <c r="V36" i="2"/>
  <c r="C10" i="3"/>
  <c r="D10" i="3"/>
  <c r="E10" i="3"/>
  <c r="AB36" i="3"/>
  <c r="AA36" i="3"/>
  <c r="Z36" i="3"/>
  <c r="Y36" i="3"/>
  <c r="X36" i="3"/>
  <c r="AB34" i="3"/>
  <c r="AA34" i="3"/>
  <c r="Z34" i="3"/>
  <c r="Y34" i="3"/>
  <c r="X34" i="3"/>
  <c r="AB32" i="3"/>
  <c r="AA32" i="3"/>
  <c r="Z32" i="3"/>
  <c r="Y32" i="3"/>
  <c r="X25" i="3"/>
  <c r="AA17" i="3"/>
  <c r="Z17" i="3"/>
  <c r="Y17" i="3"/>
  <c r="X17" i="3"/>
  <c r="AB10" i="3"/>
  <c r="AA10" i="3"/>
  <c r="Z10" i="3"/>
  <c r="Y10" i="3"/>
  <c r="X10" i="3"/>
  <c r="AA8" i="3"/>
  <c r="Z8" i="3"/>
  <c r="Y8" i="3"/>
  <c r="X8" i="3"/>
  <c r="AA6" i="3"/>
  <c r="Z6" i="3"/>
  <c r="Y6" i="3"/>
  <c r="X6" i="3"/>
  <c r="U36" i="3"/>
  <c r="T36" i="3"/>
  <c r="S36" i="3"/>
  <c r="R36" i="3"/>
  <c r="Q36" i="3"/>
  <c r="Q23" i="3"/>
  <c r="T17" i="3"/>
  <c r="S17" i="3"/>
  <c r="R17" i="3"/>
  <c r="Q17" i="3"/>
  <c r="Q12" i="3"/>
  <c r="T10" i="3"/>
  <c r="S10" i="3"/>
  <c r="R10" i="3"/>
  <c r="Q10" i="3"/>
  <c r="T8" i="3"/>
  <c r="S8" i="3"/>
  <c r="R8" i="3"/>
  <c r="Q8" i="3"/>
  <c r="U6" i="3"/>
  <c r="T6" i="3"/>
  <c r="S6" i="3"/>
  <c r="R6" i="3"/>
  <c r="Q6" i="3"/>
  <c r="N36" i="3"/>
  <c r="M36" i="3"/>
  <c r="L36" i="3"/>
  <c r="K36" i="3"/>
  <c r="J36" i="3"/>
  <c r="N34" i="3"/>
  <c r="M34" i="3"/>
  <c r="L34" i="3"/>
  <c r="K34" i="3"/>
  <c r="J34" i="3"/>
  <c r="N25" i="3"/>
  <c r="M25" i="3"/>
  <c r="L25" i="3"/>
  <c r="M17" i="3"/>
  <c r="L17" i="3"/>
  <c r="K17" i="3"/>
  <c r="J17" i="3"/>
  <c r="N12" i="3"/>
  <c r="M12" i="3"/>
  <c r="L10" i="3"/>
  <c r="K10" i="3"/>
  <c r="J10" i="3"/>
  <c r="M8" i="3"/>
  <c r="L8" i="3"/>
  <c r="K8" i="3"/>
  <c r="J8" i="3"/>
  <c r="M6" i="3"/>
  <c r="L6" i="3"/>
  <c r="K6" i="3"/>
  <c r="J6" i="3"/>
  <c r="G36" i="3"/>
  <c r="F36" i="3"/>
  <c r="E36" i="3"/>
  <c r="D36" i="3"/>
  <c r="C36" i="3"/>
  <c r="C28" i="3"/>
  <c r="E17" i="3"/>
  <c r="D17" i="3"/>
  <c r="C17" i="3"/>
  <c r="G14" i="3"/>
  <c r="F14" i="3"/>
  <c r="G6" i="3"/>
  <c r="F6" i="3"/>
  <c r="E6" i="3"/>
  <c r="D6" i="3"/>
  <c r="C6" i="3"/>
  <c r="G8" i="3"/>
  <c r="F8" i="3"/>
  <c r="E8" i="3"/>
  <c r="D8" i="3"/>
  <c r="C8" i="3"/>
  <c r="E12" i="3"/>
  <c r="P1" i="3"/>
  <c r="AC36" i="2"/>
  <c r="AC25" i="2"/>
  <c r="AC14" i="2"/>
  <c r="O41" i="2"/>
  <c r="Q41" i="2" s="1"/>
  <c r="X2" i="1"/>
  <c r="Q2" i="3" s="1"/>
  <c r="K51" i="3"/>
  <c r="K50" i="3"/>
  <c r="D51" i="3"/>
  <c r="D50" i="3"/>
  <c r="O2" i="3"/>
  <c r="D2" i="3"/>
  <c r="D1" i="3"/>
  <c r="X2" i="2"/>
  <c r="Q3" i="3" s="1"/>
  <c r="O1" i="2"/>
  <c r="D3" i="3"/>
  <c r="M3" i="3" s="1"/>
  <c r="U1" i="2"/>
  <c r="U1" i="1"/>
  <c r="Z30" i="3"/>
  <c r="Z25" i="3"/>
  <c r="Z21" i="3"/>
  <c r="X12" i="3"/>
  <c r="S25" i="3"/>
  <c r="S21" i="3"/>
  <c r="X30" i="3"/>
  <c r="X21" i="3"/>
  <c r="Z14" i="3"/>
  <c r="Q25" i="3"/>
  <c r="Q21" i="3"/>
  <c r="S14" i="3"/>
  <c r="X32" i="3"/>
  <c r="Z28" i="3"/>
  <c r="Z23" i="3"/>
  <c r="Z19" i="3"/>
  <c r="X14" i="3"/>
  <c r="S23" i="3"/>
  <c r="S19" i="3"/>
  <c r="Q14" i="3"/>
  <c r="X28" i="3"/>
  <c r="X23" i="3"/>
  <c r="X19" i="3"/>
  <c r="Z12" i="3"/>
  <c r="Q19" i="3"/>
  <c r="S12" i="3"/>
  <c r="J41" i="3"/>
  <c r="M2" i="3"/>
  <c r="G21" i="3" s="1"/>
  <c r="AA30" i="3"/>
  <c r="L30" i="3"/>
  <c r="J25" i="3"/>
  <c r="L21" i="3"/>
  <c r="L12" i="3"/>
  <c r="C32" i="3"/>
  <c r="E28" i="3"/>
  <c r="C23" i="3"/>
  <c r="E19" i="3"/>
  <c r="C14" i="3"/>
  <c r="N30" i="3"/>
  <c r="E23" i="3"/>
  <c r="AB30" i="3"/>
  <c r="L32" i="3"/>
  <c r="J28" i="3"/>
  <c r="L23" i="3"/>
  <c r="J19" i="3"/>
  <c r="L14" i="3"/>
  <c r="C25" i="3"/>
  <c r="AB17" i="3"/>
  <c r="J32" i="3"/>
  <c r="L28" i="3"/>
  <c r="J23" i="3"/>
  <c r="L19" i="3"/>
  <c r="J14" i="3"/>
  <c r="E34" i="3"/>
  <c r="C30" i="3"/>
  <c r="E25" i="3"/>
  <c r="C21" i="3"/>
  <c r="C12" i="3"/>
  <c r="J30" i="3"/>
  <c r="J21" i="3"/>
  <c r="J12" i="3"/>
  <c r="E32" i="3"/>
  <c r="G28" i="3"/>
  <c r="C19" i="3"/>
  <c r="E14" i="3"/>
  <c r="N10" i="3"/>
  <c r="C34" i="3"/>
  <c r="E30" i="3"/>
  <c r="J42" i="3"/>
  <c r="U12" i="3"/>
  <c r="G12" i="3"/>
  <c r="N23" i="3"/>
  <c r="G32" i="3"/>
  <c r="AB21" i="3"/>
  <c r="AB25" i="3"/>
  <c r="G19" i="3"/>
  <c r="AB28" i="3"/>
  <c r="Y25" i="3"/>
  <c r="AA21" i="3"/>
  <c r="AA12" i="3"/>
  <c r="U25" i="3"/>
  <c r="R23" i="3"/>
  <c r="T19" i="3"/>
  <c r="R14" i="3"/>
  <c r="T12" i="3"/>
  <c r="K32" i="3"/>
  <c r="M28" i="3"/>
  <c r="K23" i="3"/>
  <c r="M19" i="3"/>
  <c r="N17" i="3"/>
  <c r="K14" i="3"/>
  <c r="M10" i="3"/>
  <c r="F34" i="3"/>
  <c r="D30" i="3"/>
  <c r="F25" i="3"/>
  <c r="D21" i="3"/>
  <c r="F17" i="3"/>
  <c r="F10" i="3"/>
  <c r="F12" i="3"/>
  <c r="Y30" i="3"/>
  <c r="AA25" i="3"/>
  <c r="Y12" i="3"/>
  <c r="T23" i="3"/>
  <c r="K28" i="3"/>
  <c r="M23" i="3"/>
  <c r="K19" i="3"/>
  <c r="D34" i="3"/>
  <c r="F30" i="3"/>
  <c r="Y28" i="3"/>
  <c r="AA14" i="3"/>
  <c r="D32" i="3"/>
  <c r="F28" i="3"/>
  <c r="G10" i="3"/>
  <c r="AA28" i="3"/>
  <c r="Y23" i="3"/>
  <c r="AA19" i="3"/>
  <c r="Y14" i="3"/>
  <c r="T25" i="3"/>
  <c r="R21" i="3"/>
  <c r="K30" i="3"/>
  <c r="K21" i="3"/>
  <c r="K12" i="3"/>
  <c r="F32" i="3"/>
  <c r="D28" i="3"/>
  <c r="F23" i="3"/>
  <c r="D19" i="3"/>
  <c r="Y21" i="3"/>
  <c r="U21" i="3"/>
  <c r="R19" i="3"/>
  <c r="T14" i="3"/>
  <c r="R12" i="3"/>
  <c r="M32" i="3"/>
  <c r="M14" i="3"/>
  <c r="D25" i="3"/>
  <c r="D12" i="3"/>
  <c r="AA23" i="3"/>
  <c r="Y19" i="3"/>
  <c r="AB12" i="3"/>
  <c r="R25" i="3"/>
  <c r="T21" i="3"/>
  <c r="M30" i="3"/>
  <c r="N28" i="3"/>
  <c r="K25" i="3"/>
  <c r="M21" i="3"/>
  <c r="G25" i="3"/>
  <c r="D23" i="3"/>
  <c r="F19" i="3"/>
  <c r="G17" i="3"/>
  <c r="D14" i="3"/>
  <c r="O41" i="1"/>
  <c r="Q41" i="1" s="1"/>
  <c r="S13" i="3"/>
  <c r="Q13" i="3"/>
  <c r="U13" i="3"/>
  <c r="T13" i="3"/>
  <c r="R13" i="3"/>
  <c r="U14" i="2"/>
  <c r="Q14" i="2"/>
  <c r="S12" i="2"/>
  <c r="S10" i="2"/>
  <c r="S8" i="2"/>
  <c r="S6" i="2"/>
  <c r="T14" i="2"/>
  <c r="U12" i="2"/>
  <c r="T10" i="2"/>
  <c r="R8" i="2"/>
  <c r="Q6" i="2"/>
  <c r="S14" i="2"/>
  <c r="T12" i="2"/>
  <c r="R10" i="2"/>
  <c r="Q8" i="2"/>
  <c r="U6" i="2"/>
  <c r="R14" i="2"/>
  <c r="R12" i="2"/>
  <c r="Q10" i="2"/>
  <c r="U8" i="2"/>
  <c r="T6" i="2"/>
  <c r="Q12" i="2"/>
  <c r="U10" i="2"/>
  <c r="T8" i="2"/>
  <c r="R6" i="2"/>
  <c r="K35" i="3"/>
  <c r="R15" i="3"/>
  <c r="S11" i="3"/>
  <c r="S9" i="3"/>
  <c r="S7" i="3"/>
  <c r="U15" i="3"/>
  <c r="Q15" i="3"/>
  <c r="R11" i="3"/>
  <c r="R9" i="3"/>
  <c r="R7" i="3"/>
  <c r="S15" i="3"/>
  <c r="T11" i="3"/>
  <c r="T7" i="3"/>
  <c r="T9" i="3"/>
  <c r="T15" i="3"/>
  <c r="U11" i="3"/>
  <c r="Q11" i="3"/>
  <c r="U9" i="3"/>
  <c r="Q7" i="3"/>
  <c r="Q9" i="3"/>
  <c r="U7" i="3"/>
  <c r="J35" i="3"/>
  <c r="L28" i="1"/>
  <c r="K17" i="1"/>
  <c r="U8" i="1"/>
  <c r="R6" i="1"/>
  <c r="S10" i="1"/>
  <c r="Q12" i="1"/>
  <c r="U12" i="1"/>
  <c r="T14" i="1"/>
  <c r="R12" i="1"/>
  <c r="U14" i="1"/>
  <c r="Q10" i="1"/>
  <c r="U10" i="1"/>
  <c r="S12" i="1"/>
  <c r="R14" i="1"/>
  <c r="T10" i="1"/>
  <c r="Q14" i="1"/>
  <c r="R10" i="1"/>
  <c r="T12" i="1"/>
  <c r="S14" i="1"/>
  <c r="S6" i="1"/>
  <c r="R8" i="1"/>
  <c r="T6" i="1"/>
  <c r="S8" i="1"/>
  <c r="U6" i="1"/>
  <c r="T8" i="1"/>
  <c r="Q8" i="1"/>
  <c r="J34" i="1"/>
  <c r="L29" i="3"/>
  <c r="J36" i="1"/>
  <c r="M29" i="3"/>
  <c r="M36" i="1"/>
  <c r="K36" i="1"/>
  <c r="L37" i="3"/>
  <c r="K37" i="3"/>
  <c r="N28" i="1"/>
  <c r="M34" i="1"/>
  <c r="N34" i="1"/>
  <c r="J29" i="3"/>
  <c r="Z25" i="2"/>
  <c r="AA23" i="2"/>
  <c r="AA21" i="2"/>
  <c r="AA19" i="2"/>
  <c r="AA17" i="2"/>
  <c r="AB25" i="2"/>
  <c r="AB23" i="2"/>
  <c r="Z21" i="2"/>
  <c r="Y19" i="2"/>
  <c r="X17" i="2"/>
  <c r="AA25" i="2"/>
  <c r="Z23" i="2"/>
  <c r="Y21" i="2"/>
  <c r="X19" i="2"/>
  <c r="AB17" i="2"/>
  <c r="Y25" i="2"/>
  <c r="Y23" i="2"/>
  <c r="X21" i="2"/>
  <c r="AB19" i="2"/>
  <c r="Z17" i="2"/>
  <c r="AB21" i="2"/>
  <c r="X23" i="2"/>
  <c r="Z19" i="2"/>
  <c r="Y17" i="2"/>
  <c r="X25" i="2"/>
  <c r="F10" i="1"/>
  <c r="G14" i="2"/>
  <c r="C14" i="2"/>
  <c r="G12" i="2"/>
  <c r="C12" i="2"/>
  <c r="G10" i="2"/>
  <c r="C10" i="2"/>
  <c r="G8" i="2"/>
  <c r="C8" i="2"/>
  <c r="G6" i="2"/>
  <c r="C6" i="2"/>
  <c r="F12" i="2"/>
  <c r="E10" i="2"/>
  <c r="D8" i="2"/>
  <c r="F14" i="2"/>
  <c r="E12" i="2"/>
  <c r="D10" i="2"/>
  <c r="F6" i="2"/>
  <c r="E14" i="2"/>
  <c r="D12" i="2"/>
  <c r="F8" i="2"/>
  <c r="E6" i="2"/>
  <c r="F10" i="2"/>
  <c r="E8" i="2"/>
  <c r="D6" i="2"/>
  <c r="D14" i="2"/>
  <c r="N25" i="2"/>
  <c r="J25" i="2"/>
  <c r="K23" i="2"/>
  <c r="K21" i="2"/>
  <c r="K19" i="2"/>
  <c r="K17" i="2"/>
  <c r="M25" i="2"/>
  <c r="M23" i="2"/>
  <c r="L21" i="2"/>
  <c r="J19" i="2"/>
  <c r="N17" i="2"/>
  <c r="L25" i="2"/>
  <c r="L23" i="2"/>
  <c r="J21" i="2"/>
  <c r="N19" i="2"/>
  <c r="M17" i="2"/>
  <c r="K25" i="2"/>
  <c r="J23" i="2"/>
  <c r="N21" i="2"/>
  <c r="M19" i="2"/>
  <c r="L17" i="2"/>
  <c r="N23" i="2"/>
  <c r="M21" i="2"/>
  <c r="L19" i="2"/>
  <c r="AA14" i="2"/>
  <c r="Y12" i="2"/>
  <c r="Y10" i="2"/>
  <c r="Y8" i="2"/>
  <c r="Y6" i="2"/>
  <c r="AB14" i="2"/>
  <c r="AB12" i="2"/>
  <c r="AA10" i="2"/>
  <c r="Z8" i="2"/>
  <c r="X6" i="2"/>
  <c r="Z14" i="2"/>
  <c r="AA12" i="2"/>
  <c r="Z10" i="2"/>
  <c r="X8" i="2"/>
  <c r="AB6" i="2"/>
  <c r="Y14" i="2"/>
  <c r="Z12" i="2"/>
  <c r="X10" i="2"/>
  <c r="AB8" i="2"/>
  <c r="AA6" i="2"/>
  <c r="X14" i="2"/>
  <c r="AB10" i="2"/>
  <c r="X12" i="2"/>
  <c r="AA8" i="2"/>
  <c r="Z6" i="2"/>
  <c r="Y36" i="2"/>
  <c r="Z34" i="2"/>
  <c r="Z32" i="2"/>
  <c r="Z30" i="2"/>
  <c r="Z28" i="2"/>
  <c r="AB36" i="2"/>
  <c r="X36" i="2"/>
  <c r="AA36" i="2"/>
  <c r="AB34" i="2"/>
  <c r="AA32" i="2"/>
  <c r="Y30" i="2"/>
  <c r="X28" i="2"/>
  <c r="Z36" i="2"/>
  <c r="AA34" i="2"/>
  <c r="Y32" i="2"/>
  <c r="X30" i="2"/>
  <c r="AB28" i="2"/>
  <c r="Y34" i="2"/>
  <c r="X32" i="2"/>
  <c r="AB30" i="2"/>
  <c r="AA28" i="2"/>
  <c r="X34" i="2"/>
  <c r="AB32" i="2"/>
  <c r="Y28" i="2"/>
  <c r="AA30" i="2"/>
  <c r="T25" i="2"/>
  <c r="U23" i="2"/>
  <c r="Q23" i="2"/>
  <c r="U21" i="2"/>
  <c r="Q21" i="2"/>
  <c r="U19" i="2"/>
  <c r="Q19" i="2"/>
  <c r="U17" i="2"/>
  <c r="Q17" i="2"/>
  <c r="U25" i="2"/>
  <c r="T23" i="2"/>
  <c r="S21" i="2"/>
  <c r="R19" i="2"/>
  <c r="S25" i="2"/>
  <c r="S23" i="2"/>
  <c r="R21" i="2"/>
  <c r="T17" i="2"/>
  <c r="R25" i="2"/>
  <c r="R23" i="2"/>
  <c r="T19" i="2"/>
  <c r="S17" i="2"/>
  <c r="Q25" i="2"/>
  <c r="S19" i="2"/>
  <c r="T21" i="2"/>
  <c r="R17" i="2"/>
  <c r="K23" i="1"/>
  <c r="E25" i="2"/>
  <c r="E23" i="2"/>
  <c r="E21" i="2"/>
  <c r="E19" i="2"/>
  <c r="E17" i="2"/>
  <c r="G25" i="2"/>
  <c r="F23" i="2"/>
  <c r="D21" i="2"/>
  <c r="C19" i="2"/>
  <c r="G17" i="2"/>
  <c r="F25" i="2"/>
  <c r="D23" i="2"/>
  <c r="C21" i="2"/>
  <c r="G19" i="2"/>
  <c r="F17" i="2"/>
  <c r="D25" i="2"/>
  <c r="C23" i="2"/>
  <c r="G21" i="2"/>
  <c r="F19" i="2"/>
  <c r="D17" i="2"/>
  <c r="G23" i="2"/>
  <c r="F21" i="2"/>
  <c r="D19" i="2"/>
  <c r="C17" i="2"/>
  <c r="C25" i="2"/>
  <c r="D36" i="2"/>
  <c r="D34" i="2"/>
  <c r="D32" i="2"/>
  <c r="D30" i="2"/>
  <c r="D28" i="2"/>
  <c r="G36" i="2"/>
  <c r="F34" i="2"/>
  <c r="E32" i="2"/>
  <c r="C30" i="2"/>
  <c r="G28" i="2"/>
  <c r="F36" i="2"/>
  <c r="E34" i="2"/>
  <c r="C32" i="2"/>
  <c r="G30" i="2"/>
  <c r="F28" i="2"/>
  <c r="E36" i="2"/>
  <c r="C34" i="2"/>
  <c r="G32" i="2"/>
  <c r="F30" i="2"/>
  <c r="E28" i="2"/>
  <c r="G34" i="2"/>
  <c r="E30" i="2"/>
  <c r="C28" i="2"/>
  <c r="F32" i="2"/>
  <c r="C36" i="2"/>
  <c r="L14" i="2"/>
  <c r="M12" i="2"/>
  <c r="M10" i="2"/>
  <c r="M8" i="2"/>
  <c r="M6" i="2"/>
  <c r="N14" i="2"/>
  <c r="N12" i="2"/>
  <c r="L10" i="2"/>
  <c r="K8" i="2"/>
  <c r="J6" i="2"/>
  <c r="M14" i="2"/>
  <c r="L12" i="2"/>
  <c r="K10" i="2"/>
  <c r="J8" i="2"/>
  <c r="N6" i="2"/>
  <c r="K14" i="2"/>
  <c r="K12" i="2"/>
  <c r="J10" i="2"/>
  <c r="N8" i="2"/>
  <c r="L6" i="2"/>
  <c r="J14" i="2"/>
  <c r="N10" i="2"/>
  <c r="L8" i="2"/>
  <c r="K6" i="2"/>
  <c r="J12" i="2"/>
  <c r="L35" i="3"/>
  <c r="M36" i="2"/>
  <c r="N34" i="2"/>
  <c r="J34" i="2"/>
  <c r="N32" i="2"/>
  <c r="J32" i="2"/>
  <c r="N30" i="2"/>
  <c r="J30" i="2"/>
  <c r="N28" i="2"/>
  <c r="J28" i="2"/>
  <c r="L36" i="2"/>
  <c r="M34" i="2"/>
  <c r="L32" i="2"/>
  <c r="K30" i="2"/>
  <c r="N36" i="2"/>
  <c r="L34" i="2"/>
  <c r="K32" i="2"/>
  <c r="M28" i="2"/>
  <c r="K36" i="2"/>
  <c r="K34" i="2"/>
  <c r="M30" i="2"/>
  <c r="L28" i="2"/>
  <c r="J36" i="2"/>
  <c r="M32" i="2"/>
  <c r="L30" i="2"/>
  <c r="K28" i="2"/>
  <c r="M30" i="1"/>
  <c r="K28" i="1"/>
  <c r="L36" i="1"/>
  <c r="M28" i="1"/>
  <c r="N31" i="3"/>
  <c r="N29" i="3"/>
  <c r="J37" i="3"/>
  <c r="L32" i="1"/>
  <c r="M32" i="1"/>
  <c r="J30" i="1"/>
  <c r="J32" i="1"/>
  <c r="J33" i="3"/>
  <c r="M31" i="3"/>
  <c r="J31" i="3"/>
  <c r="K31" i="3"/>
  <c r="N37" i="3"/>
  <c r="L33" i="3"/>
  <c r="L30" i="1"/>
  <c r="N36" i="1"/>
  <c r="K30" i="1"/>
  <c r="M33" i="3"/>
  <c r="K29" i="3"/>
  <c r="L31" i="3"/>
  <c r="J28" i="1"/>
  <c r="K34" i="1"/>
  <c r="L34" i="1"/>
  <c r="N30" i="1"/>
  <c r="N32" i="1"/>
  <c r="K32" i="1"/>
  <c r="N35" i="3"/>
  <c r="M35" i="3"/>
  <c r="N33" i="3"/>
  <c r="K33" i="3"/>
  <c r="M37" i="3"/>
  <c r="K25" i="1"/>
  <c r="M23" i="1"/>
  <c r="F8" i="1"/>
  <c r="N25" i="1"/>
  <c r="L23" i="1"/>
  <c r="G10" i="1"/>
  <c r="E6" i="1"/>
  <c r="C14" i="1"/>
  <c r="D10" i="1"/>
  <c r="F14" i="1"/>
  <c r="E14" i="1"/>
  <c r="C8" i="1"/>
  <c r="F6" i="1"/>
  <c r="G8" i="1"/>
  <c r="J25" i="1"/>
  <c r="J23" i="1"/>
  <c r="F12" i="1"/>
  <c r="G12" i="1"/>
  <c r="D12" i="1"/>
  <c r="C36" i="1"/>
  <c r="K21" i="1"/>
  <c r="D8" i="1"/>
  <c r="E8" i="1"/>
  <c r="G6" i="1"/>
  <c r="G14" i="1"/>
  <c r="E36" i="1"/>
  <c r="D36" i="1"/>
  <c r="G28" i="1"/>
  <c r="D30" i="1"/>
  <c r="C30" i="1"/>
  <c r="F37" i="3"/>
  <c r="F35" i="3"/>
  <c r="F33" i="3"/>
  <c r="F31" i="3"/>
  <c r="F29" i="3"/>
  <c r="D37" i="3"/>
  <c r="E37" i="3"/>
  <c r="E35" i="3"/>
  <c r="E33" i="3"/>
  <c r="E31" i="3"/>
  <c r="E29" i="3"/>
  <c r="D33" i="3"/>
  <c r="D29" i="3"/>
  <c r="C35" i="3"/>
  <c r="G33" i="3"/>
  <c r="C31" i="3"/>
  <c r="G29" i="3"/>
  <c r="G37" i="3"/>
  <c r="G35" i="3"/>
  <c r="C33" i="3"/>
  <c r="G31" i="3"/>
  <c r="C29" i="3"/>
  <c r="C37" i="3"/>
  <c r="D35" i="3"/>
  <c r="D31" i="3"/>
  <c r="E28" i="1"/>
  <c r="D28" i="1"/>
  <c r="D32" i="1"/>
  <c r="G34" i="1"/>
  <c r="AA15" i="3"/>
  <c r="Y13" i="3"/>
  <c r="Y11" i="3"/>
  <c r="Y9" i="3"/>
  <c r="Y7" i="3"/>
  <c r="Z15" i="3"/>
  <c r="AB13" i="3"/>
  <c r="X13" i="3"/>
  <c r="AB11" i="3"/>
  <c r="X11" i="3"/>
  <c r="AB9" i="3"/>
  <c r="X9" i="3"/>
  <c r="AB7" i="3"/>
  <c r="X7" i="3"/>
  <c r="Y15" i="3"/>
  <c r="Z13" i="3"/>
  <c r="Z9" i="3"/>
  <c r="Z11" i="3"/>
  <c r="Z7" i="3"/>
  <c r="AB15" i="3"/>
  <c r="AA13" i="3"/>
  <c r="AA9" i="3"/>
  <c r="X15" i="3"/>
  <c r="AA11" i="3"/>
  <c r="AA7" i="3"/>
  <c r="Y37" i="3"/>
  <c r="AB35" i="3"/>
  <c r="X35" i="3"/>
  <c r="AB33" i="3"/>
  <c r="X33" i="3"/>
  <c r="AB31" i="3"/>
  <c r="X31" i="3"/>
  <c r="AB29" i="3"/>
  <c r="X29" i="3"/>
  <c r="AA37" i="3"/>
  <c r="Z35" i="3"/>
  <c r="AB37" i="3"/>
  <c r="X37" i="3"/>
  <c r="AA35" i="3"/>
  <c r="AA33" i="3"/>
  <c r="AA31" i="3"/>
  <c r="AA29" i="3"/>
  <c r="Z33" i="3"/>
  <c r="Z29" i="3"/>
  <c r="Y35" i="3"/>
  <c r="Y31" i="3"/>
  <c r="Y33" i="3"/>
  <c r="Y29" i="3"/>
  <c r="Z37" i="3"/>
  <c r="Z31" i="3"/>
  <c r="S26" i="3"/>
  <c r="U24" i="3"/>
  <c r="Q24" i="3"/>
  <c r="U22" i="3"/>
  <c r="Q22" i="3"/>
  <c r="U20" i="3"/>
  <c r="Q20" i="3"/>
  <c r="U18" i="3"/>
  <c r="Q18" i="3"/>
  <c r="R26" i="3"/>
  <c r="T24" i="3"/>
  <c r="T22" i="3"/>
  <c r="T20" i="3"/>
  <c r="T18" i="3"/>
  <c r="S22" i="3"/>
  <c r="S18" i="3"/>
  <c r="S20" i="3"/>
  <c r="Q26" i="3"/>
  <c r="R24" i="3"/>
  <c r="R20" i="3"/>
  <c r="U26" i="3"/>
  <c r="R22" i="3"/>
  <c r="R18" i="3"/>
  <c r="T26" i="3"/>
  <c r="S24" i="3"/>
  <c r="G32" i="1"/>
  <c r="F32" i="1"/>
  <c r="E32" i="1"/>
  <c r="E26" i="3"/>
  <c r="E24" i="3"/>
  <c r="E22" i="3"/>
  <c r="E20" i="3"/>
  <c r="E18" i="3"/>
  <c r="D26" i="3"/>
  <c r="D24" i="3"/>
  <c r="D22" i="3"/>
  <c r="D20" i="3"/>
  <c r="D18" i="3"/>
  <c r="G26" i="3"/>
  <c r="C24" i="3"/>
  <c r="G22" i="3"/>
  <c r="C20" i="3"/>
  <c r="G18" i="3"/>
  <c r="C22" i="3"/>
  <c r="G20" i="3"/>
  <c r="C18" i="3"/>
  <c r="F24" i="3"/>
  <c r="F20" i="3"/>
  <c r="F26" i="3"/>
  <c r="F22" i="3"/>
  <c r="F18" i="3"/>
  <c r="C26" i="3"/>
  <c r="G24" i="3"/>
  <c r="L12" i="1"/>
  <c r="M15" i="3"/>
  <c r="M13" i="3"/>
  <c r="M11" i="3"/>
  <c r="M9" i="3"/>
  <c r="M7" i="3"/>
  <c r="L15" i="3"/>
  <c r="L13" i="3"/>
  <c r="L11" i="3"/>
  <c r="L9" i="3"/>
  <c r="L7" i="3"/>
  <c r="J15" i="3"/>
  <c r="N13" i="3"/>
  <c r="J11" i="3"/>
  <c r="N9" i="3"/>
  <c r="J7" i="3"/>
  <c r="N15" i="3"/>
  <c r="J13" i="3"/>
  <c r="N11" i="3"/>
  <c r="J9" i="3"/>
  <c r="N7" i="3"/>
  <c r="K15" i="3"/>
  <c r="K11" i="3"/>
  <c r="K7" i="3"/>
  <c r="K13" i="3"/>
  <c r="K9" i="3"/>
  <c r="AB26" i="3"/>
  <c r="X26" i="3"/>
  <c r="AA24" i="3"/>
  <c r="AA22" i="3"/>
  <c r="AA20" i="3"/>
  <c r="AA18" i="3"/>
  <c r="AA26" i="3"/>
  <c r="Z24" i="3"/>
  <c r="Z22" i="3"/>
  <c r="Z20" i="3"/>
  <c r="Z18" i="3"/>
  <c r="Y24" i="3"/>
  <c r="Y20" i="3"/>
  <c r="Y18" i="3"/>
  <c r="Y26" i="3"/>
  <c r="AB24" i="3"/>
  <c r="X22" i="3"/>
  <c r="AB20" i="3"/>
  <c r="X18" i="3"/>
  <c r="X24" i="3"/>
  <c r="AB22" i="3"/>
  <c r="X20" i="3"/>
  <c r="AB18" i="3"/>
  <c r="Z26" i="3"/>
  <c r="Y22" i="3"/>
  <c r="X19" i="1"/>
  <c r="F28" i="1"/>
  <c r="F34" i="1"/>
  <c r="E34" i="1"/>
  <c r="D34" i="1"/>
  <c r="F36" i="1"/>
  <c r="C32" i="1"/>
  <c r="G30" i="1"/>
  <c r="G36" i="1"/>
  <c r="F30" i="1"/>
  <c r="L17" i="1"/>
  <c r="N26" i="3"/>
  <c r="J26" i="3"/>
  <c r="K24" i="3"/>
  <c r="K22" i="3"/>
  <c r="K20" i="3"/>
  <c r="K18" i="3"/>
  <c r="M26" i="3"/>
  <c r="N24" i="3"/>
  <c r="J24" i="3"/>
  <c r="N22" i="3"/>
  <c r="J22" i="3"/>
  <c r="N20" i="3"/>
  <c r="J20" i="3"/>
  <c r="N18" i="3"/>
  <c r="M24" i="3"/>
  <c r="M20" i="3"/>
  <c r="M22" i="3"/>
  <c r="M18" i="3"/>
  <c r="L22" i="3"/>
  <c r="L18" i="3"/>
  <c r="L26" i="3"/>
  <c r="L24" i="3"/>
  <c r="L20" i="3"/>
  <c r="K26" i="3"/>
  <c r="D6" i="1"/>
  <c r="G15" i="3"/>
  <c r="C15" i="3"/>
  <c r="G13" i="3"/>
  <c r="C13" i="3"/>
  <c r="G11" i="3"/>
  <c r="C11" i="3"/>
  <c r="G9" i="3"/>
  <c r="C9" i="3"/>
  <c r="G7" i="3"/>
  <c r="C7" i="3"/>
  <c r="F15" i="3"/>
  <c r="F13" i="3"/>
  <c r="F11" i="3"/>
  <c r="F9" i="3"/>
  <c r="F7" i="3"/>
  <c r="D13" i="3"/>
  <c r="D9" i="3"/>
  <c r="D15" i="3"/>
  <c r="D11" i="3"/>
  <c r="D7" i="3"/>
  <c r="E9" i="3"/>
  <c r="E15" i="3"/>
  <c r="E11" i="3"/>
  <c r="E7" i="3"/>
  <c r="E13" i="3"/>
  <c r="D21" i="1"/>
  <c r="L25" i="1"/>
  <c r="D14" i="1"/>
  <c r="C10" i="1"/>
  <c r="C12" i="1"/>
  <c r="E10" i="1"/>
  <c r="J21" i="1"/>
  <c r="C34" i="1"/>
  <c r="E12" i="1"/>
  <c r="M19" i="1"/>
  <c r="E30" i="1"/>
  <c r="M12" i="1"/>
  <c r="L14" i="1"/>
  <c r="M10" i="1"/>
  <c r="K6" i="1"/>
  <c r="K14" i="1"/>
  <c r="L10" i="1"/>
  <c r="K10" i="1"/>
  <c r="J12" i="1"/>
  <c r="C21" i="1"/>
  <c r="N10" i="1"/>
  <c r="L8" i="1"/>
  <c r="K12" i="1"/>
  <c r="C25" i="1"/>
  <c r="J10" i="1"/>
  <c r="C19" i="1"/>
  <c r="M6" i="1"/>
  <c r="N12" i="1"/>
  <c r="N6" i="1"/>
  <c r="J14" i="1"/>
  <c r="L6" i="1"/>
  <c r="J8" i="1"/>
  <c r="D25" i="1"/>
  <c r="M14" i="1"/>
  <c r="N8" i="1"/>
  <c r="J6" i="1"/>
  <c r="M8" i="1"/>
  <c r="N14" i="1"/>
  <c r="K8" i="1"/>
  <c r="G19" i="1"/>
  <c r="G21" i="1"/>
  <c r="C23" i="1"/>
  <c r="N19" i="1"/>
  <c r="C17" i="1"/>
  <c r="L21" i="1"/>
  <c r="F21" i="1"/>
  <c r="E17" i="1"/>
  <c r="F23" i="1"/>
  <c r="F17" i="1"/>
  <c r="G23" i="1"/>
  <c r="J19" i="1"/>
  <c r="M17" i="1"/>
  <c r="N23" i="1"/>
  <c r="N17" i="1"/>
  <c r="M21" i="1"/>
  <c r="D23" i="1"/>
  <c r="G25" i="1"/>
  <c r="G17" i="1"/>
  <c r="K19" i="1"/>
  <c r="D17" i="1"/>
  <c r="E23" i="1"/>
  <c r="D19" i="1"/>
  <c r="E25" i="1"/>
  <c r="E19" i="1"/>
  <c r="F25" i="1"/>
  <c r="L19" i="1"/>
  <c r="M25" i="1"/>
  <c r="N21" i="1"/>
  <c r="E21" i="1"/>
  <c r="F19" i="1"/>
  <c r="AB36" i="1"/>
  <c r="X36" i="1"/>
  <c r="AA36" i="1"/>
  <c r="Z36" i="1"/>
  <c r="Y36" i="1"/>
  <c r="AB34" i="1"/>
  <c r="Y25" i="1"/>
  <c r="Z23" i="1"/>
  <c r="AA21" i="1"/>
  <c r="AB19" i="1"/>
  <c r="Y17" i="1"/>
  <c r="AB23" i="1"/>
  <c r="Y21" i="1"/>
  <c r="AA17" i="1"/>
  <c r="AA23" i="1"/>
  <c r="X21" i="1"/>
  <c r="Z17" i="1"/>
  <c r="AB25" i="1"/>
  <c r="X25" i="1"/>
  <c r="Y23" i="1"/>
  <c r="Z21" i="1"/>
  <c r="AA19" i="1"/>
  <c r="AB17" i="1"/>
  <c r="X17" i="1"/>
  <c r="AA25" i="1"/>
  <c r="X23" i="1"/>
  <c r="Z19" i="1"/>
  <c r="Z25" i="1"/>
  <c r="AB21" i="1"/>
  <c r="Y19" i="1"/>
  <c r="Z14" i="1"/>
  <c r="AA12" i="1"/>
  <c r="AB10" i="1"/>
  <c r="X10" i="1"/>
  <c r="Y8" i="1"/>
  <c r="Z6" i="1"/>
  <c r="X14" i="1"/>
  <c r="Z10" i="1"/>
  <c r="AB6" i="1"/>
  <c r="AB12" i="1"/>
  <c r="Y10" i="1"/>
  <c r="AA6" i="1"/>
  <c r="Y14" i="1"/>
  <c r="Z12" i="1"/>
  <c r="AA10" i="1"/>
  <c r="AB8" i="1"/>
  <c r="X8" i="1"/>
  <c r="Y6" i="1"/>
  <c r="AB14" i="1"/>
  <c r="Y12" i="1"/>
  <c r="AA8" i="1"/>
  <c r="X6" i="1"/>
  <c r="AA14" i="1"/>
  <c r="X12" i="1"/>
  <c r="Z8" i="1"/>
  <c r="S25" i="1"/>
  <c r="T23" i="1"/>
  <c r="U21" i="1"/>
  <c r="Q21" i="1"/>
  <c r="R19" i="1"/>
  <c r="S17" i="1"/>
  <c r="U25" i="1"/>
  <c r="Q25" i="1"/>
  <c r="R23" i="1"/>
  <c r="S21" i="1"/>
  <c r="T19" i="1"/>
  <c r="U17" i="1"/>
  <c r="U23" i="1"/>
  <c r="R21" i="1"/>
  <c r="T17" i="1"/>
  <c r="R25" i="1"/>
  <c r="S23" i="1"/>
  <c r="T21" i="1"/>
  <c r="U19" i="1"/>
  <c r="Q19" i="1"/>
  <c r="R17" i="1"/>
  <c r="T25" i="1"/>
  <c r="Q23" i="1"/>
  <c r="S19" i="1"/>
  <c r="Y34" i="1"/>
  <c r="Z32" i="1"/>
  <c r="AA30" i="1"/>
  <c r="AB28" i="1"/>
  <c r="X28" i="1"/>
  <c r="AA34" i="1"/>
  <c r="AB32" i="1"/>
  <c r="X32" i="1"/>
  <c r="Z28" i="1"/>
  <c r="Z34" i="1"/>
  <c r="AA32" i="1"/>
  <c r="AB30" i="1"/>
  <c r="Y28" i="1"/>
  <c r="X34" i="1"/>
  <c r="Y32" i="1"/>
  <c r="Z30" i="1"/>
  <c r="AA28" i="1"/>
  <c r="Y30" i="1"/>
  <c r="X30" i="1"/>
  <c r="O3" i="3"/>
  <c r="F21" i="3" l="1"/>
  <c r="AB6" i="3"/>
  <c r="N14" i="3"/>
  <c r="AB19" i="3"/>
  <c r="G34" i="3"/>
  <c r="N32" i="3"/>
  <c r="U19" i="3"/>
  <c r="U10" i="3"/>
  <c r="U23" i="3"/>
  <c r="G30" i="3"/>
  <c r="AB23" i="3"/>
  <c r="N21" i="3"/>
  <c r="AB14" i="3"/>
  <c r="N8" i="3"/>
  <c r="G23" i="3"/>
  <c r="N19" i="3"/>
  <c r="U14" i="3"/>
  <c r="N6" i="3"/>
  <c r="U17" i="3"/>
  <c r="U8" i="3"/>
  <c r="AB8" i="3"/>
  <c r="Z43" i="2"/>
  <c r="AB43" i="2" s="1"/>
  <c r="Z43" i="1"/>
  <c r="AB43" i="1" s="1"/>
  <c r="E21" i="3"/>
  <c r="Z44" i="3" l="1"/>
  <c r="AB44" i="3" s="1"/>
  <c r="AI45" i="6" l="1"/>
  <c r="AI46" i="6" s="1"/>
  <c r="AI47" i="6" s="1"/>
  <c r="AI48" i="6" s="1"/>
  <c r="AI49" i="6" s="1"/>
  <c r="AI50" i="6" s="1"/>
  <c r="AI51" i="6" s="1"/>
  <c r="AI52" i="6" s="1"/>
  <c r="AI53" i="6" s="1"/>
  <c r="AI54" i="6" s="1"/>
  <c r="AI55" i="6" s="1"/>
  <c r="AI56" i="6" s="1"/>
  <c r="AI57" i="6" s="1"/>
  <c r="AI58" i="6" s="1"/>
  <c r="AI59" i="6" s="1"/>
  <c r="AI60" i="6" s="1"/>
  <c r="AI61" i="6" s="1"/>
  <c r="AI62" i="6" s="1"/>
  <c r="AI63" i="6" s="1"/>
  <c r="AI64" i="6" s="1"/>
  <c r="AI65" i="6" s="1"/>
  <c r="AI66" i="6" s="1"/>
  <c r="AI67" i="6" s="1"/>
  <c r="AI68" i="6" s="1"/>
  <c r="AI69" i="6" s="1"/>
  <c r="AI70" i="6" s="1"/>
  <c r="AI71" i="6" s="1"/>
  <c r="AI72" i="6" s="1"/>
  <c r="AI73" i="6" s="1"/>
  <c r="AI74" i="6" s="1"/>
  <c r="AI75" i="6" s="1"/>
  <c r="AI76" i="6" s="1"/>
  <c r="AI77" i="6" s="1"/>
  <c r="AI78" i="6" s="1"/>
  <c r="AI79" i="6" s="1"/>
  <c r="AI80" i="6" s="1"/>
  <c r="AI81" i="6" s="1"/>
  <c r="AI82" i="6" s="1"/>
  <c r="AI83" i="6" s="1"/>
  <c r="AI84" i="6" s="1"/>
  <c r="AI85" i="6" s="1"/>
  <c r="AI86" i="6" s="1"/>
  <c r="AI87" i="6" s="1"/>
  <c r="AI88" i="6" s="1"/>
  <c r="AI89" i="6" s="1"/>
  <c r="AI90" i="6" s="1"/>
  <c r="AI91" i="6" s="1"/>
  <c r="AI92" i="6" s="1"/>
  <c r="AI93" i="6" s="1"/>
  <c r="AI94" i="6" s="1"/>
  <c r="AI95" i="6" s="1"/>
  <c r="AI96" i="6" s="1"/>
  <c r="AI97" i="6" s="1"/>
  <c r="AI98" i="6" s="1"/>
  <c r="AI99" i="6" s="1"/>
  <c r="AI100" i="6" s="1"/>
  <c r="AI101" i="6" s="1"/>
  <c r="AI102" i="6" s="1"/>
  <c r="AI103" i="6" s="1"/>
  <c r="AI104" i="6" s="1"/>
  <c r="AI105" i="6" s="1"/>
  <c r="AI106" i="6" s="1"/>
  <c r="AI107" i="6" s="1"/>
  <c r="AI108" i="6" s="1"/>
  <c r="AI109" i="6" s="1"/>
  <c r="AI110" i="6" s="1"/>
  <c r="AI111" i="6" s="1"/>
  <c r="AI112" i="6" s="1"/>
  <c r="AI113" i="6" s="1"/>
  <c r="AI114" i="6" s="1"/>
  <c r="AI115" i="6" s="1"/>
  <c r="AI116" i="6" s="1"/>
  <c r="AI117" i="6" s="1"/>
  <c r="AI118" i="6" s="1"/>
  <c r="AI119" i="6" s="1"/>
  <c r="AI120" i="6" s="1"/>
  <c r="AI121" i="6" s="1"/>
  <c r="AI122" i="6" s="1"/>
  <c r="AI123" i="6" s="1"/>
  <c r="AI124" i="6" s="1"/>
  <c r="AI125" i="6" s="1"/>
  <c r="AI126" i="6" s="1"/>
  <c r="AI127" i="6" s="1"/>
  <c r="AI128" i="6" s="1"/>
  <c r="AI129" i="6" s="1"/>
  <c r="AI130" i="6" s="1"/>
  <c r="AI131" i="6" s="1"/>
  <c r="AI132" i="6" s="1"/>
  <c r="AI133" i="6" s="1"/>
  <c r="AI134" i="6" s="1"/>
  <c r="AI135" i="6" s="1"/>
  <c r="AI136" i="6" s="1"/>
  <c r="AI137" i="6" s="1"/>
  <c r="AI138" i="6" s="1"/>
  <c r="AI139" i="6" s="1"/>
  <c r="AI140" i="6" s="1"/>
  <c r="AI141" i="6" s="1"/>
  <c r="AI142" i="6" s="1"/>
  <c r="AI143" i="6" s="1"/>
  <c r="AI144" i="6" s="1"/>
  <c r="AI145" i="6" s="1"/>
  <c r="AI146" i="6" s="1"/>
  <c r="AI147" i="6" s="1"/>
  <c r="AI148" i="6" s="1"/>
  <c r="AI149" i="6" s="1"/>
  <c r="AI150" i="6" s="1"/>
  <c r="AI151" i="6" s="1"/>
  <c r="AI152" i="6" s="1"/>
  <c r="AI153" i="6" s="1"/>
  <c r="AI154" i="6" s="1"/>
  <c r="AI155" i="6" s="1"/>
  <c r="AI156" i="6" s="1"/>
  <c r="AI157" i="6" s="1"/>
  <c r="AI158" i="6" s="1"/>
  <c r="AI159" i="6" s="1"/>
  <c r="AI160" i="6" s="1"/>
  <c r="AI161" i="6" s="1"/>
  <c r="AI162" i="6" s="1"/>
  <c r="AI163" i="6" s="1"/>
  <c r="AI164" i="6" s="1"/>
  <c r="AI165" i="6" s="1"/>
  <c r="AI166" i="6" s="1"/>
  <c r="AI167" i="6" s="1"/>
  <c r="AI168" i="6" s="1"/>
  <c r="AI169" i="6" s="1"/>
  <c r="AI170" i="6" s="1"/>
  <c r="AI171" i="6" s="1"/>
  <c r="AI172" i="6" s="1"/>
  <c r="AI173" i="6" s="1"/>
  <c r="AI174" i="6" s="1"/>
  <c r="AI175" i="6" s="1"/>
  <c r="AI176" i="6" s="1"/>
  <c r="AI177" i="6" s="1"/>
  <c r="AI178" i="6" s="1"/>
  <c r="AI179" i="6" s="1"/>
  <c r="AI180" i="6" s="1"/>
  <c r="AI181" i="6" s="1"/>
  <c r="AI182" i="6" s="1"/>
  <c r="AI183" i="6" s="1"/>
  <c r="AI184" i="6" s="1"/>
  <c r="AI185" i="6" s="1"/>
  <c r="AI186" i="6" s="1"/>
  <c r="AI187" i="6" s="1"/>
  <c r="AI188" i="6" s="1"/>
  <c r="AI189" i="6" s="1"/>
  <c r="AI190" i="6" s="1"/>
  <c r="AI191" i="6" s="1"/>
  <c r="AI192" i="6" s="1"/>
  <c r="AI193" i="6" s="1"/>
  <c r="AI194" i="6" s="1"/>
  <c r="AI195" i="6" s="1"/>
  <c r="AI196" i="6" s="1"/>
  <c r="AI197" i="6" s="1"/>
  <c r="AI198" i="6" s="1"/>
  <c r="AI199" i="6" s="1"/>
  <c r="AI200" i="6" s="1"/>
  <c r="AI201" i="6" s="1"/>
  <c r="AI202" i="6" s="1"/>
  <c r="AI203" i="6" s="1"/>
  <c r="AI204" i="6" s="1"/>
  <c r="AI205" i="6" s="1"/>
  <c r="AI206" i="6" s="1"/>
  <c r="AI207" i="6" s="1"/>
  <c r="AI208" i="6" s="1"/>
  <c r="AI209" i="6" s="1"/>
  <c r="AI210" i="6" s="1"/>
  <c r="AI211" i="6" s="1"/>
  <c r="AI212" i="6" s="1"/>
  <c r="AI213" i="6" s="1"/>
  <c r="AI214" i="6" s="1"/>
  <c r="AI215" i="6" s="1"/>
  <c r="AI216" i="6" s="1"/>
  <c r="AI217" i="6" s="1"/>
  <c r="AI218" i="6" s="1"/>
  <c r="AI219" i="6" s="1"/>
  <c r="AI220" i="6" s="1"/>
  <c r="AI221" i="6" s="1"/>
  <c r="AI222" i="6" s="1"/>
  <c r="AI223" i="6" s="1"/>
  <c r="AI224" i="6" s="1"/>
  <c r="AI225" i="6" s="1"/>
  <c r="AI226" i="6" s="1"/>
  <c r="AI227" i="6" s="1"/>
  <c r="AI228" i="6" s="1"/>
  <c r="AI229" i="6" s="1"/>
  <c r="AI230" i="6" s="1"/>
  <c r="AI231" i="6" s="1"/>
  <c r="AI232" i="6" s="1"/>
  <c r="AI233" i="6" s="1"/>
  <c r="AI234" i="6" s="1"/>
  <c r="AI235" i="6" s="1"/>
  <c r="AI236" i="6" s="1"/>
  <c r="AI237" i="6" s="1"/>
  <c r="AI238" i="6" s="1"/>
  <c r="AI239" i="6" s="1"/>
  <c r="AI240" i="6" s="1"/>
  <c r="AI241" i="6" s="1"/>
  <c r="AI242" i="6" s="1"/>
  <c r="AI243" i="6" s="1"/>
  <c r="AI244" i="6" s="1"/>
  <c r="AI245" i="6" s="1"/>
  <c r="AI246" i="6" s="1"/>
  <c r="AI247" i="6" s="1"/>
  <c r="AI248" i="6" s="1"/>
  <c r="AI249" i="6" s="1"/>
  <c r="AI250" i="6" s="1"/>
  <c r="AI251" i="6" s="1"/>
  <c r="AI252" i="6" s="1"/>
  <c r="AI253" i="6" s="1"/>
  <c r="AI254" i="6" s="1"/>
  <c r="AI255" i="6" s="1"/>
  <c r="AI256" i="6" s="1"/>
  <c r="AI257" i="6" s="1"/>
  <c r="AI258" i="6" s="1"/>
  <c r="AI259" i="6" s="1"/>
  <c r="AI260" i="6" s="1"/>
  <c r="AI261" i="6" s="1"/>
  <c r="AI262" i="6" s="1"/>
  <c r="AI263" i="6" s="1"/>
  <c r="AI264" i="6" s="1"/>
  <c r="AI265" i="6" s="1"/>
  <c r="AI266" i="6" s="1"/>
  <c r="AI267" i="6" s="1"/>
  <c r="AI268" i="6" s="1"/>
  <c r="AI269" i="6" s="1"/>
  <c r="AI270" i="6" s="1"/>
  <c r="AI271" i="6" s="1"/>
  <c r="AI272" i="6" s="1"/>
  <c r="AI273" i="6" s="1"/>
  <c r="AI274" i="6" s="1"/>
  <c r="AI275" i="6" s="1"/>
  <c r="AI276" i="6" s="1"/>
  <c r="AI277" i="6" s="1"/>
  <c r="AI278" i="6" s="1"/>
  <c r="AI279" i="6" s="1"/>
  <c r="AI280" i="6" s="1"/>
  <c r="AI281" i="6" s="1"/>
  <c r="AI282" i="6" s="1"/>
  <c r="AI283" i="6" s="1"/>
  <c r="AI284" i="6" s="1"/>
  <c r="AI285" i="6" s="1"/>
  <c r="AI286" i="6" s="1"/>
  <c r="AI287" i="6" s="1"/>
  <c r="AI288" i="6" s="1"/>
  <c r="AI289" i="6" s="1"/>
  <c r="AI290" i="6" s="1"/>
  <c r="AI291" i="6" s="1"/>
  <c r="AI292" i="6" s="1"/>
  <c r="AI293" i="6" s="1"/>
  <c r="AI294" i="6" s="1"/>
  <c r="AI295" i="6" s="1"/>
  <c r="AI296" i="6" s="1"/>
  <c r="AI297" i="6" s="1"/>
  <c r="AI298" i="6" s="1"/>
  <c r="AI299" i="6" s="1"/>
  <c r="AI300" i="6" s="1"/>
  <c r="AI301" i="6" s="1"/>
  <c r="AI302" i="6" s="1"/>
  <c r="AI303" i="6" s="1"/>
  <c r="AI304" i="6" s="1"/>
  <c r="AI305" i="6" s="1"/>
  <c r="AI306" i="6" s="1"/>
  <c r="AI307" i="6" s="1"/>
  <c r="AI308" i="6" s="1"/>
  <c r="AI309" i="6" s="1"/>
  <c r="AI310" i="6" s="1"/>
  <c r="AI311" i="6" s="1"/>
  <c r="AI312" i="6" s="1"/>
  <c r="AI313" i="6" s="1"/>
  <c r="AI314" i="6" s="1"/>
  <c r="AI315" i="6" s="1"/>
  <c r="AI316" i="6" s="1"/>
  <c r="AI317" i="6" s="1"/>
  <c r="AI318" i="6" s="1"/>
  <c r="AI319" i="6" s="1"/>
  <c r="AI320" i="6" s="1"/>
  <c r="AI321" i="6" s="1"/>
  <c r="AI322" i="6" s="1"/>
  <c r="AI323" i="6" s="1"/>
  <c r="AI324" i="6" s="1"/>
  <c r="AI325" i="6" s="1"/>
  <c r="AI326" i="6" s="1"/>
  <c r="AI327" i="6" s="1"/>
  <c r="AI328" i="6" s="1"/>
  <c r="AI329" i="6" s="1"/>
  <c r="AI330" i="6" s="1"/>
  <c r="AI331" i="6" s="1"/>
  <c r="AI332" i="6" s="1"/>
  <c r="AI333" i="6" s="1"/>
  <c r="AI334" i="6" s="1"/>
  <c r="AI335" i="6" s="1"/>
  <c r="AI336" i="6" s="1"/>
  <c r="AI337" i="6" s="1"/>
  <c r="AI338" i="6" s="1"/>
  <c r="AI339" i="6" s="1"/>
  <c r="AI340" i="6" s="1"/>
  <c r="AI341" i="6" s="1"/>
  <c r="AI342" i="6" s="1"/>
  <c r="AI343" i="6" s="1"/>
  <c r="AI344" i="6" s="1"/>
  <c r="AI345" i="6" s="1"/>
  <c r="AI346" i="6" s="1"/>
  <c r="AI347" i="6" s="1"/>
  <c r="AI348" i="6" s="1"/>
  <c r="AI349" i="6" s="1"/>
  <c r="AI350" i="6" s="1"/>
  <c r="AI351" i="6" s="1"/>
  <c r="AI352" i="6" s="1"/>
  <c r="AI353" i="6" s="1"/>
  <c r="AI354" i="6" s="1"/>
  <c r="AI355" i="6" s="1"/>
  <c r="AI356" i="6" s="1"/>
  <c r="AI357" i="6" s="1"/>
  <c r="AI358" i="6" s="1"/>
  <c r="AI359" i="6" s="1"/>
  <c r="AI360" i="6" s="1"/>
  <c r="AI361" i="6" s="1"/>
  <c r="AI362" i="6" s="1"/>
  <c r="AI363" i="6" s="1"/>
  <c r="AI364" i="6" s="1"/>
  <c r="AI365" i="6" s="1"/>
  <c r="AI366" i="6" s="1"/>
  <c r="AI367" i="6" s="1"/>
  <c r="AI368" i="6" s="1"/>
  <c r="AI369" i="6" s="1"/>
  <c r="AI370" i="6" s="1"/>
  <c r="AI371" i="6" s="1"/>
  <c r="AI372" i="6" s="1"/>
  <c r="AI373" i="6" s="1"/>
  <c r="AI374" i="6" s="1"/>
  <c r="AI375" i="6" s="1"/>
  <c r="AI376" i="6" s="1"/>
  <c r="AI377" i="6" s="1"/>
  <c r="AI378" i="6" s="1"/>
  <c r="AI379" i="6" s="1"/>
  <c r="AI380" i="6" s="1"/>
  <c r="AI381" i="6" s="1"/>
  <c r="AI382" i="6" s="1"/>
  <c r="AI383" i="6" s="1"/>
  <c r="AI384" i="6" s="1"/>
  <c r="AI385" i="6" s="1"/>
  <c r="AI386" i="6" s="1"/>
  <c r="AI387" i="6" s="1"/>
  <c r="AI388" i="6" s="1"/>
  <c r="AI389" i="6" s="1"/>
  <c r="AI390" i="6" s="1"/>
  <c r="AI391" i="6" s="1"/>
  <c r="AI392" i="6" s="1"/>
  <c r="AI393" i="6" s="1"/>
  <c r="AI394" i="6" s="1"/>
  <c r="AI395" i="6" s="1"/>
  <c r="AI396" i="6" s="1"/>
  <c r="AI397" i="6" s="1"/>
  <c r="AI398" i="6" s="1"/>
  <c r="AI399" i="6" s="1"/>
  <c r="AG45" i="6"/>
  <c r="AG46" i="6" s="1"/>
  <c r="AG47" i="6" s="1"/>
  <c r="AG48" i="6" s="1"/>
  <c r="AG49" i="6" s="1"/>
  <c r="AG50" i="6" s="1"/>
  <c r="AG51" i="6" s="1"/>
  <c r="AG52" i="6" s="1"/>
  <c r="AG53" i="6" s="1"/>
  <c r="AG54" i="6" s="1"/>
  <c r="AG55" i="6" s="1"/>
  <c r="AG56" i="6" s="1"/>
  <c r="AG57" i="6" s="1"/>
  <c r="AG58" i="6" s="1"/>
  <c r="AG59" i="6" s="1"/>
  <c r="AG60" i="6" s="1"/>
  <c r="AG61" i="6" s="1"/>
  <c r="AG62" i="6" s="1"/>
  <c r="AG63" i="6" s="1"/>
  <c r="AG64" i="6" s="1"/>
  <c r="AG65" i="6" s="1"/>
  <c r="AG66" i="6" s="1"/>
  <c r="AG67" i="6" s="1"/>
  <c r="AG68" i="6" s="1"/>
  <c r="AG69" i="6" s="1"/>
  <c r="AG70" i="6" s="1"/>
  <c r="AG71" i="6" s="1"/>
  <c r="AG72" i="6" s="1"/>
  <c r="AG73" i="6" s="1"/>
  <c r="AG74" i="6" s="1"/>
  <c r="AG75" i="6" s="1"/>
  <c r="AG76" i="6" s="1"/>
  <c r="AG77" i="6" s="1"/>
  <c r="AG78" i="6" s="1"/>
  <c r="AG79" i="6" s="1"/>
  <c r="AG80" i="6" s="1"/>
  <c r="AG81" i="6" s="1"/>
  <c r="AG82" i="6" s="1"/>
  <c r="AG83" i="6" s="1"/>
  <c r="AG84" i="6" s="1"/>
  <c r="AG85" i="6" s="1"/>
  <c r="AG86" i="6" s="1"/>
  <c r="AG87" i="6" s="1"/>
  <c r="AG88" i="6" s="1"/>
  <c r="AG89" i="6" s="1"/>
  <c r="AG90" i="6" s="1"/>
  <c r="AG91" i="6" s="1"/>
  <c r="AG92" i="6" s="1"/>
  <c r="AG93" i="6" s="1"/>
  <c r="AG94" i="6" s="1"/>
  <c r="AG95" i="6" s="1"/>
  <c r="AG96" i="6" s="1"/>
  <c r="AG97" i="6" s="1"/>
  <c r="AG98" i="6" s="1"/>
  <c r="AG99" i="6" s="1"/>
  <c r="AG100" i="6" s="1"/>
  <c r="AG101" i="6" s="1"/>
  <c r="AG102" i="6" s="1"/>
  <c r="AG103" i="6" s="1"/>
  <c r="AG104" i="6" s="1"/>
  <c r="AG105" i="6" s="1"/>
  <c r="AG106" i="6" s="1"/>
  <c r="AG107" i="6" s="1"/>
  <c r="AG108" i="6" s="1"/>
  <c r="AG109" i="6" s="1"/>
  <c r="AG110" i="6" s="1"/>
  <c r="AG111" i="6" s="1"/>
  <c r="AG112" i="6" s="1"/>
  <c r="AG113" i="6" s="1"/>
  <c r="AG114" i="6" s="1"/>
  <c r="AG115" i="6" s="1"/>
  <c r="AG116" i="6" s="1"/>
  <c r="AG117" i="6" s="1"/>
  <c r="AG118" i="6" s="1"/>
  <c r="AG119" i="6" s="1"/>
  <c r="AG120" i="6" s="1"/>
  <c r="AG121" i="6" s="1"/>
  <c r="AG122" i="6" s="1"/>
  <c r="AG123" i="6" s="1"/>
  <c r="AG124" i="6" s="1"/>
  <c r="AG125" i="6" s="1"/>
  <c r="AG126" i="6" s="1"/>
  <c r="AG127" i="6" s="1"/>
  <c r="AG128" i="6" s="1"/>
  <c r="AG129" i="6" s="1"/>
  <c r="AG130" i="6" s="1"/>
  <c r="AG131" i="6" s="1"/>
  <c r="AG132" i="6" s="1"/>
  <c r="AG133" i="6" s="1"/>
  <c r="AG134" i="6" s="1"/>
  <c r="AG135" i="6" s="1"/>
  <c r="AG136" i="6" s="1"/>
  <c r="AG137" i="6" s="1"/>
  <c r="AG138" i="6" s="1"/>
  <c r="AG139" i="6" s="1"/>
  <c r="AG140" i="6" s="1"/>
  <c r="AG141" i="6" s="1"/>
  <c r="AG142" i="6" s="1"/>
  <c r="AG143" i="6" s="1"/>
  <c r="AG144" i="6" s="1"/>
  <c r="AG145" i="6" s="1"/>
  <c r="AG146" i="6" s="1"/>
  <c r="AG147" i="6" s="1"/>
  <c r="AG148" i="6" s="1"/>
  <c r="AG149" i="6" s="1"/>
  <c r="AG150" i="6" s="1"/>
  <c r="AG151" i="6" s="1"/>
  <c r="AG152" i="6" s="1"/>
  <c r="AG153" i="6" s="1"/>
  <c r="AG154" i="6" s="1"/>
  <c r="AG155" i="6" s="1"/>
  <c r="AG156" i="6" s="1"/>
  <c r="AG157" i="6" s="1"/>
  <c r="AG158" i="6" s="1"/>
  <c r="AG159" i="6" s="1"/>
  <c r="AG160" i="6" s="1"/>
  <c r="AG161" i="6" s="1"/>
  <c r="AG162" i="6" s="1"/>
  <c r="AG163" i="6" s="1"/>
  <c r="AG164" i="6" s="1"/>
  <c r="AG165" i="6" s="1"/>
  <c r="AG166" i="6" s="1"/>
  <c r="AG167" i="6" s="1"/>
  <c r="AG168" i="6" s="1"/>
  <c r="AG169" i="6" s="1"/>
  <c r="AG170" i="6" s="1"/>
  <c r="AG171" i="6" s="1"/>
  <c r="AG172" i="6" s="1"/>
  <c r="AG173" i="6" s="1"/>
  <c r="AG174" i="6" s="1"/>
  <c r="AG175" i="6" s="1"/>
  <c r="AG176" i="6" s="1"/>
  <c r="AG177" i="6" s="1"/>
  <c r="AG178" i="6" s="1"/>
  <c r="AG179" i="6" s="1"/>
  <c r="AG180" i="6" s="1"/>
  <c r="AG181" i="6" s="1"/>
  <c r="AG182" i="6" s="1"/>
  <c r="AG183" i="6" s="1"/>
  <c r="AG184" i="6" s="1"/>
  <c r="AG185" i="6" s="1"/>
  <c r="AG186" i="6" s="1"/>
  <c r="AG187" i="6" s="1"/>
  <c r="AG188" i="6" s="1"/>
  <c r="AG189" i="6" s="1"/>
  <c r="AG190" i="6" s="1"/>
  <c r="AG191" i="6" s="1"/>
  <c r="AG192" i="6" s="1"/>
  <c r="AG193" i="6" s="1"/>
  <c r="AG194" i="6" s="1"/>
  <c r="AG195" i="6" s="1"/>
  <c r="AG196" i="6" s="1"/>
  <c r="AG197" i="6" s="1"/>
  <c r="AG198" i="6" s="1"/>
  <c r="AG199" i="6" s="1"/>
  <c r="AG200" i="6" s="1"/>
  <c r="AG201" i="6" s="1"/>
  <c r="AG202" i="6" s="1"/>
  <c r="AG203" i="6" s="1"/>
  <c r="AG204" i="6" s="1"/>
  <c r="AG205" i="6" s="1"/>
  <c r="AG206" i="6" s="1"/>
  <c r="AG207" i="6" s="1"/>
  <c r="AG208" i="6" s="1"/>
  <c r="AG209" i="6" s="1"/>
  <c r="AG210" i="6" s="1"/>
  <c r="AG211" i="6" s="1"/>
  <c r="AG212" i="6" s="1"/>
  <c r="AG213" i="6" s="1"/>
  <c r="AG214" i="6" s="1"/>
  <c r="AG215" i="6" s="1"/>
  <c r="AG216" i="6" s="1"/>
  <c r="AG217" i="6" s="1"/>
  <c r="AG218" i="6" s="1"/>
  <c r="AG219" i="6" s="1"/>
  <c r="AG220" i="6" s="1"/>
  <c r="AG221" i="6" s="1"/>
  <c r="AG222" i="6" s="1"/>
  <c r="AG223" i="6" s="1"/>
  <c r="AG224" i="6" s="1"/>
  <c r="AG225" i="6" s="1"/>
  <c r="AG226" i="6" s="1"/>
  <c r="AG227" i="6" s="1"/>
  <c r="AG228" i="6" s="1"/>
  <c r="AG229" i="6" s="1"/>
  <c r="AG230" i="6" s="1"/>
  <c r="AG231" i="6" s="1"/>
  <c r="AG232" i="6" s="1"/>
  <c r="AG233" i="6" s="1"/>
  <c r="AG234" i="6" s="1"/>
  <c r="AG235" i="6" s="1"/>
  <c r="AG236" i="6" s="1"/>
  <c r="AG237" i="6" s="1"/>
  <c r="AG238" i="6" s="1"/>
  <c r="AG239" i="6" s="1"/>
  <c r="AG240" i="6" s="1"/>
  <c r="AG241" i="6" s="1"/>
  <c r="AG242" i="6" s="1"/>
  <c r="AG243" i="6" s="1"/>
  <c r="AG244" i="6" s="1"/>
  <c r="AG245" i="6" s="1"/>
  <c r="AG246" i="6" s="1"/>
  <c r="AG247" i="6" s="1"/>
  <c r="AG248" i="6" s="1"/>
  <c r="AG249" i="6" s="1"/>
  <c r="AG250" i="6" s="1"/>
  <c r="AG251" i="6" s="1"/>
  <c r="AG252" i="6" s="1"/>
  <c r="AG253" i="6" s="1"/>
  <c r="AG254" i="6" s="1"/>
  <c r="AG255" i="6" s="1"/>
  <c r="AG256" i="6" s="1"/>
  <c r="AG257" i="6" s="1"/>
  <c r="AG258" i="6" s="1"/>
  <c r="AG259" i="6" s="1"/>
  <c r="AG260" i="6" s="1"/>
  <c r="AG261" i="6" s="1"/>
  <c r="AG262" i="6" s="1"/>
  <c r="AG263" i="6" s="1"/>
  <c r="AG264" i="6" s="1"/>
  <c r="AG265" i="6" s="1"/>
  <c r="AG266" i="6" s="1"/>
  <c r="AG267" i="6" s="1"/>
  <c r="AG268" i="6" s="1"/>
  <c r="AG269" i="6" s="1"/>
  <c r="AG270" i="6" s="1"/>
  <c r="AG271" i="6" s="1"/>
  <c r="AG272" i="6" s="1"/>
  <c r="AG273" i="6" s="1"/>
  <c r="AG274" i="6" s="1"/>
  <c r="AG275" i="6" s="1"/>
  <c r="AG276" i="6" s="1"/>
  <c r="AG277" i="6" s="1"/>
  <c r="AG278" i="6" s="1"/>
  <c r="AG279" i="6" s="1"/>
  <c r="AG280" i="6" s="1"/>
  <c r="AG281" i="6" s="1"/>
  <c r="AG282" i="6" s="1"/>
  <c r="AG283" i="6" s="1"/>
  <c r="AG284" i="6" s="1"/>
  <c r="AG285" i="6" s="1"/>
  <c r="AG286" i="6" s="1"/>
  <c r="AG287" i="6" s="1"/>
  <c r="AG288" i="6" s="1"/>
  <c r="AG289" i="6" s="1"/>
  <c r="AG290" i="6" s="1"/>
  <c r="AG291" i="6" s="1"/>
  <c r="AG292" i="6" s="1"/>
  <c r="AG293" i="6" s="1"/>
  <c r="AG294" i="6" s="1"/>
  <c r="AG295" i="6" s="1"/>
  <c r="AG296" i="6" s="1"/>
  <c r="AG297" i="6" s="1"/>
  <c r="AG298" i="6" s="1"/>
  <c r="AG299" i="6" s="1"/>
  <c r="AG300" i="6" s="1"/>
  <c r="AG301" i="6" s="1"/>
  <c r="AG302" i="6" s="1"/>
  <c r="AG303" i="6" s="1"/>
  <c r="AG304" i="6" s="1"/>
  <c r="AG305" i="6" s="1"/>
  <c r="AG306" i="6" s="1"/>
  <c r="AG307" i="6" s="1"/>
  <c r="AG308" i="6" s="1"/>
  <c r="AG309" i="6" s="1"/>
  <c r="AG310" i="6" s="1"/>
  <c r="AG311" i="6" s="1"/>
  <c r="AG312" i="6" s="1"/>
  <c r="AG313" i="6" s="1"/>
  <c r="AG314" i="6" s="1"/>
  <c r="AG315" i="6" s="1"/>
  <c r="AG316" i="6" s="1"/>
  <c r="AG317" i="6" s="1"/>
  <c r="AG318" i="6" s="1"/>
  <c r="AG319" i="6" s="1"/>
  <c r="AG320" i="6" s="1"/>
  <c r="AG321" i="6" s="1"/>
  <c r="AG322" i="6" s="1"/>
  <c r="AG323" i="6" s="1"/>
  <c r="AG324" i="6" s="1"/>
  <c r="AG325" i="6" s="1"/>
  <c r="AG326" i="6" s="1"/>
  <c r="AG327" i="6" s="1"/>
  <c r="AG328" i="6" s="1"/>
  <c r="AG329" i="6" s="1"/>
  <c r="AG330" i="6" s="1"/>
  <c r="AG331" i="6" s="1"/>
  <c r="AG332" i="6" s="1"/>
  <c r="AG333" i="6" s="1"/>
  <c r="AG334" i="6" s="1"/>
  <c r="AG335" i="6" s="1"/>
  <c r="AG336" i="6" s="1"/>
  <c r="AG337" i="6" s="1"/>
  <c r="AG338" i="6" s="1"/>
  <c r="AG339" i="6" s="1"/>
  <c r="AG340" i="6" s="1"/>
  <c r="AG341" i="6" s="1"/>
  <c r="AG342" i="6" s="1"/>
  <c r="AG343" i="6" s="1"/>
  <c r="AG344" i="6" s="1"/>
  <c r="AG345" i="6" s="1"/>
  <c r="AG346" i="6" s="1"/>
  <c r="AG347" i="6" s="1"/>
  <c r="AG348" i="6" s="1"/>
  <c r="AG349" i="6" s="1"/>
  <c r="AG350" i="6" s="1"/>
  <c r="AG351" i="6" s="1"/>
  <c r="AG352" i="6" s="1"/>
  <c r="AG353" i="6" s="1"/>
  <c r="AG354" i="6" s="1"/>
  <c r="AG355" i="6" s="1"/>
  <c r="AG356" i="6" s="1"/>
  <c r="AG357" i="6" s="1"/>
  <c r="AG358" i="6" s="1"/>
  <c r="AG359" i="6" s="1"/>
  <c r="AG360" i="6" s="1"/>
  <c r="AG361" i="6" s="1"/>
  <c r="AG362" i="6" s="1"/>
  <c r="AG363" i="6" s="1"/>
  <c r="AG364" i="6" s="1"/>
  <c r="AG365" i="6" s="1"/>
  <c r="AG366" i="6" s="1"/>
  <c r="AG367" i="6" s="1"/>
  <c r="AG368" i="6" s="1"/>
  <c r="AG369" i="6" s="1"/>
  <c r="AG370" i="6" s="1"/>
  <c r="AG371" i="6" s="1"/>
  <c r="AG372" i="6" s="1"/>
  <c r="AG373" i="6" s="1"/>
  <c r="AG374" i="6" s="1"/>
  <c r="AG375" i="6" s="1"/>
  <c r="AG376" i="6" s="1"/>
  <c r="AG377" i="6" s="1"/>
  <c r="AG378" i="6" s="1"/>
  <c r="AG379" i="6" s="1"/>
  <c r="AG380" i="6" s="1"/>
  <c r="AG381" i="6" s="1"/>
  <c r="AG382" i="6" s="1"/>
  <c r="AG383" i="6" s="1"/>
  <c r="AG384" i="6" s="1"/>
  <c r="AG385" i="6" s="1"/>
  <c r="AG386" i="6" s="1"/>
  <c r="AG387" i="6" s="1"/>
  <c r="AG388" i="6" s="1"/>
  <c r="AG389" i="6" s="1"/>
  <c r="AG390" i="6" s="1"/>
  <c r="AG391" i="6" s="1"/>
  <c r="AG392" i="6" s="1"/>
  <c r="AG393" i="6" s="1"/>
  <c r="AG394" i="6" s="1"/>
  <c r="AG395" i="6" s="1"/>
  <c r="AG396" i="6" s="1"/>
  <c r="AG397" i="6" s="1"/>
  <c r="AG398" i="6" s="1"/>
  <c r="AG399" i="6" s="1"/>
  <c r="AH45" i="6"/>
  <c r="AH46" i="6" s="1"/>
  <c r="AH47" i="6" s="1"/>
  <c r="AH48" i="6" s="1"/>
  <c r="AH49" i="6" s="1"/>
  <c r="AH50" i="6" s="1"/>
  <c r="AH51" i="6" s="1"/>
  <c r="AH52" i="6" s="1"/>
  <c r="AH53" i="6" s="1"/>
  <c r="AH54" i="6" s="1"/>
  <c r="AH55" i="6" s="1"/>
  <c r="AH56" i="6" s="1"/>
  <c r="AH57" i="6" s="1"/>
  <c r="AH58" i="6" s="1"/>
  <c r="AH59" i="6" s="1"/>
  <c r="AH60" i="6" s="1"/>
  <c r="AH61" i="6" s="1"/>
  <c r="AH62" i="6" s="1"/>
  <c r="AH63" i="6" s="1"/>
  <c r="AH64" i="6" s="1"/>
  <c r="AH65" i="6" s="1"/>
  <c r="AH66" i="6" s="1"/>
  <c r="AH67" i="6" s="1"/>
  <c r="AH68" i="6" s="1"/>
  <c r="AH69" i="6" s="1"/>
  <c r="AH70" i="6" s="1"/>
  <c r="AH71" i="6" s="1"/>
  <c r="AH72" i="6" s="1"/>
  <c r="AH73" i="6" s="1"/>
  <c r="AH74" i="6" s="1"/>
  <c r="AH75" i="6" s="1"/>
  <c r="AH76" i="6" s="1"/>
  <c r="AH77" i="6" s="1"/>
  <c r="AH78" i="6" s="1"/>
  <c r="AH79" i="6" s="1"/>
  <c r="AH80" i="6" s="1"/>
  <c r="AH81" i="6" s="1"/>
  <c r="AH82" i="6" s="1"/>
  <c r="AH83" i="6" s="1"/>
  <c r="AH84" i="6" s="1"/>
  <c r="AH85" i="6" s="1"/>
  <c r="AH86" i="6" s="1"/>
  <c r="AH87" i="6" s="1"/>
  <c r="AH88" i="6" s="1"/>
  <c r="AH89" i="6" s="1"/>
  <c r="AH90" i="6" s="1"/>
  <c r="AH91" i="6" s="1"/>
  <c r="AH92" i="6" s="1"/>
  <c r="AH93" i="6" s="1"/>
  <c r="AH94" i="6" s="1"/>
  <c r="AH95" i="6" s="1"/>
  <c r="AH96" i="6" s="1"/>
  <c r="AH97" i="6" s="1"/>
  <c r="AH98" i="6" s="1"/>
  <c r="AH99" i="6" s="1"/>
  <c r="AH100" i="6" s="1"/>
  <c r="AH101" i="6" s="1"/>
  <c r="AH102" i="6" s="1"/>
  <c r="AH103" i="6" s="1"/>
  <c r="AH104" i="6" s="1"/>
  <c r="AH105" i="6" s="1"/>
  <c r="AH106" i="6" s="1"/>
  <c r="AH107" i="6" s="1"/>
  <c r="AH108" i="6" s="1"/>
  <c r="AH109" i="6" s="1"/>
  <c r="AH110" i="6" s="1"/>
  <c r="AH111" i="6" s="1"/>
  <c r="AH112" i="6" s="1"/>
  <c r="AH113" i="6" s="1"/>
  <c r="AH114" i="6" s="1"/>
  <c r="AH115" i="6" s="1"/>
  <c r="AH116" i="6" s="1"/>
  <c r="AH117" i="6" s="1"/>
  <c r="AH118" i="6" s="1"/>
  <c r="AH119" i="6" s="1"/>
  <c r="AH120" i="6" s="1"/>
  <c r="AH121" i="6" s="1"/>
  <c r="AH122" i="6" s="1"/>
  <c r="AH123" i="6" s="1"/>
  <c r="AH124" i="6" s="1"/>
  <c r="AH125" i="6" s="1"/>
  <c r="AH126" i="6" s="1"/>
  <c r="AH127" i="6" s="1"/>
  <c r="AH128" i="6" s="1"/>
  <c r="AH129" i="6" s="1"/>
  <c r="AH130" i="6" s="1"/>
  <c r="AH131" i="6" s="1"/>
  <c r="AH132" i="6" s="1"/>
  <c r="AH133" i="6" s="1"/>
  <c r="AH134" i="6" s="1"/>
  <c r="AH135" i="6" s="1"/>
  <c r="AH136" i="6" s="1"/>
  <c r="AH137" i="6" s="1"/>
  <c r="AH138" i="6" s="1"/>
  <c r="AH139" i="6" s="1"/>
  <c r="AH140" i="6" s="1"/>
  <c r="AH141" i="6" s="1"/>
  <c r="AH142" i="6" s="1"/>
  <c r="AH143" i="6" s="1"/>
  <c r="AH144" i="6" s="1"/>
  <c r="AH145" i="6" s="1"/>
  <c r="AH146" i="6" s="1"/>
  <c r="AH147" i="6" s="1"/>
  <c r="AH148" i="6" s="1"/>
  <c r="AH149" i="6" s="1"/>
  <c r="AH150" i="6" s="1"/>
  <c r="AH151" i="6" s="1"/>
  <c r="AH152" i="6" s="1"/>
  <c r="AH153" i="6" s="1"/>
  <c r="AH154" i="6" s="1"/>
  <c r="AH155" i="6" s="1"/>
  <c r="AH156" i="6" s="1"/>
  <c r="AH157" i="6" s="1"/>
  <c r="AH158" i="6" s="1"/>
  <c r="AH159" i="6" s="1"/>
  <c r="AH160" i="6" s="1"/>
  <c r="AH161" i="6" s="1"/>
  <c r="AH162" i="6" s="1"/>
  <c r="AH163" i="6" s="1"/>
  <c r="AH164" i="6" s="1"/>
  <c r="AH165" i="6" s="1"/>
  <c r="AH166" i="6" s="1"/>
  <c r="AH167" i="6" s="1"/>
  <c r="AH168" i="6" s="1"/>
  <c r="AH169" i="6" s="1"/>
  <c r="AH170" i="6" s="1"/>
  <c r="AH171" i="6" s="1"/>
  <c r="AH172" i="6" s="1"/>
  <c r="AH173" i="6" s="1"/>
  <c r="AH174" i="6" s="1"/>
  <c r="AH175" i="6" s="1"/>
  <c r="AH176" i="6" s="1"/>
  <c r="AH177" i="6" s="1"/>
  <c r="AH178" i="6" s="1"/>
  <c r="AH179" i="6" s="1"/>
  <c r="AH180" i="6" s="1"/>
  <c r="AH181" i="6" s="1"/>
  <c r="AH182" i="6" s="1"/>
  <c r="AH183" i="6" s="1"/>
  <c r="AH184" i="6" s="1"/>
  <c r="AH185" i="6" s="1"/>
  <c r="AH186" i="6" s="1"/>
  <c r="AH187" i="6" s="1"/>
  <c r="AH188" i="6" s="1"/>
  <c r="AH189" i="6" s="1"/>
  <c r="AH190" i="6" s="1"/>
  <c r="AH191" i="6" s="1"/>
  <c r="AH192" i="6" s="1"/>
  <c r="AH193" i="6" s="1"/>
  <c r="AH194" i="6" s="1"/>
  <c r="AH195" i="6" s="1"/>
  <c r="AH196" i="6" s="1"/>
  <c r="AH197" i="6" s="1"/>
  <c r="AH198" i="6" s="1"/>
  <c r="AH199" i="6" s="1"/>
  <c r="AH200" i="6" s="1"/>
  <c r="AH201" i="6" s="1"/>
  <c r="AH202" i="6" s="1"/>
  <c r="AH203" i="6" s="1"/>
  <c r="AH204" i="6" s="1"/>
  <c r="AH205" i="6" s="1"/>
  <c r="AH206" i="6" s="1"/>
  <c r="AH207" i="6" s="1"/>
  <c r="AH208" i="6" s="1"/>
  <c r="AH209" i="6" s="1"/>
  <c r="AH210" i="6" s="1"/>
  <c r="AH211" i="6" s="1"/>
  <c r="AH212" i="6" s="1"/>
  <c r="AH213" i="6" s="1"/>
  <c r="AH214" i="6" s="1"/>
  <c r="AH215" i="6" s="1"/>
  <c r="AH216" i="6" s="1"/>
  <c r="AH217" i="6" s="1"/>
  <c r="AH218" i="6" s="1"/>
  <c r="AH219" i="6" s="1"/>
  <c r="AH220" i="6" s="1"/>
  <c r="AH221" i="6" s="1"/>
  <c r="AH222" i="6" s="1"/>
  <c r="AH223" i="6" s="1"/>
  <c r="AH224" i="6" s="1"/>
  <c r="AH225" i="6" s="1"/>
  <c r="AH226" i="6" s="1"/>
  <c r="AH227" i="6" s="1"/>
  <c r="AH228" i="6" s="1"/>
  <c r="AH229" i="6" s="1"/>
  <c r="AH230" i="6" s="1"/>
  <c r="AH231" i="6" s="1"/>
  <c r="AH232" i="6" s="1"/>
  <c r="AH233" i="6" s="1"/>
  <c r="AH234" i="6" s="1"/>
  <c r="AH235" i="6" s="1"/>
  <c r="AH236" i="6" s="1"/>
  <c r="AH237" i="6" s="1"/>
  <c r="AH238" i="6" s="1"/>
  <c r="AH239" i="6" s="1"/>
  <c r="AH240" i="6" s="1"/>
  <c r="AH241" i="6" s="1"/>
  <c r="AH242" i="6" s="1"/>
  <c r="AH243" i="6" s="1"/>
  <c r="AH244" i="6" s="1"/>
  <c r="AH245" i="6" s="1"/>
  <c r="AH246" i="6" s="1"/>
  <c r="AH247" i="6" s="1"/>
  <c r="AH248" i="6" s="1"/>
  <c r="AH249" i="6" s="1"/>
  <c r="AH250" i="6" s="1"/>
  <c r="AH251" i="6" s="1"/>
  <c r="AH252" i="6" s="1"/>
  <c r="AH253" i="6" s="1"/>
  <c r="AH254" i="6" s="1"/>
  <c r="AH255" i="6" s="1"/>
  <c r="AH256" i="6" s="1"/>
  <c r="AH257" i="6" s="1"/>
  <c r="AH258" i="6" s="1"/>
  <c r="AH259" i="6" s="1"/>
  <c r="AH260" i="6" s="1"/>
  <c r="AH261" i="6" s="1"/>
  <c r="AH262" i="6" s="1"/>
  <c r="AH263" i="6" s="1"/>
  <c r="AH264" i="6" s="1"/>
  <c r="AH265" i="6" s="1"/>
  <c r="AH266" i="6" s="1"/>
  <c r="AH267" i="6" s="1"/>
  <c r="AH268" i="6" s="1"/>
  <c r="AH269" i="6" s="1"/>
  <c r="AH270" i="6" s="1"/>
  <c r="AH271" i="6" s="1"/>
  <c r="AH272" i="6" s="1"/>
  <c r="AH273" i="6" s="1"/>
  <c r="AH274" i="6" s="1"/>
  <c r="AH275" i="6" s="1"/>
  <c r="AH276" i="6" s="1"/>
  <c r="AH277" i="6" s="1"/>
  <c r="AH278" i="6" s="1"/>
  <c r="AH279" i="6" s="1"/>
  <c r="AH280" i="6" s="1"/>
  <c r="AH281" i="6" s="1"/>
  <c r="AH282" i="6" s="1"/>
  <c r="AH283" i="6" s="1"/>
  <c r="AH284" i="6" s="1"/>
  <c r="AH285" i="6" s="1"/>
  <c r="AH286" i="6" s="1"/>
  <c r="AH287" i="6" s="1"/>
  <c r="AH288" i="6" s="1"/>
  <c r="AH289" i="6" s="1"/>
  <c r="AH290" i="6" s="1"/>
  <c r="AH291" i="6" s="1"/>
  <c r="AH292" i="6" s="1"/>
  <c r="AH293" i="6" s="1"/>
  <c r="AH294" i="6" s="1"/>
  <c r="AH295" i="6" s="1"/>
  <c r="AH296" i="6" s="1"/>
  <c r="AH297" i="6" s="1"/>
  <c r="AH298" i="6" s="1"/>
  <c r="AH299" i="6" s="1"/>
  <c r="AH300" i="6" s="1"/>
  <c r="AH301" i="6" s="1"/>
  <c r="AH302" i="6" s="1"/>
  <c r="AH303" i="6" s="1"/>
  <c r="AH304" i="6" s="1"/>
  <c r="AH305" i="6" s="1"/>
  <c r="AH306" i="6" s="1"/>
  <c r="AH307" i="6" s="1"/>
  <c r="AH308" i="6" s="1"/>
  <c r="AH309" i="6" s="1"/>
  <c r="AH310" i="6" s="1"/>
  <c r="AH311" i="6" s="1"/>
  <c r="AH312" i="6" s="1"/>
  <c r="AH313" i="6" s="1"/>
  <c r="AH314" i="6" s="1"/>
  <c r="AH315" i="6" s="1"/>
  <c r="AH316" i="6" s="1"/>
  <c r="AH317" i="6" s="1"/>
  <c r="AH318" i="6" s="1"/>
  <c r="AH319" i="6" s="1"/>
  <c r="AH320" i="6" s="1"/>
  <c r="AH321" i="6" s="1"/>
  <c r="AH322" i="6" s="1"/>
  <c r="AH323" i="6" s="1"/>
  <c r="AH324" i="6" s="1"/>
  <c r="AH325" i="6" s="1"/>
  <c r="AH326" i="6" s="1"/>
  <c r="AH327" i="6" s="1"/>
  <c r="AH328" i="6" s="1"/>
  <c r="AH329" i="6" s="1"/>
  <c r="AH330" i="6" s="1"/>
  <c r="AH331" i="6" s="1"/>
  <c r="AH332" i="6" s="1"/>
  <c r="AH333" i="6" s="1"/>
  <c r="AH334" i="6" s="1"/>
  <c r="AH335" i="6" s="1"/>
  <c r="AH336" i="6" s="1"/>
  <c r="AH337" i="6" s="1"/>
  <c r="AH338" i="6" s="1"/>
  <c r="AH339" i="6" s="1"/>
  <c r="AH340" i="6" s="1"/>
  <c r="AH341" i="6" s="1"/>
  <c r="AH342" i="6" s="1"/>
  <c r="AH343" i="6" s="1"/>
  <c r="AH344" i="6" s="1"/>
  <c r="AH345" i="6" s="1"/>
  <c r="AH346" i="6" s="1"/>
  <c r="AH347" i="6" s="1"/>
  <c r="AH348" i="6" s="1"/>
  <c r="AH349" i="6" s="1"/>
  <c r="AH350" i="6" s="1"/>
  <c r="AH351" i="6" s="1"/>
  <c r="AH352" i="6" s="1"/>
  <c r="AH353" i="6" s="1"/>
  <c r="AH354" i="6" s="1"/>
  <c r="AH355" i="6" s="1"/>
  <c r="AH356" i="6" s="1"/>
  <c r="AH357" i="6" s="1"/>
  <c r="AH358" i="6" s="1"/>
  <c r="AH359" i="6" s="1"/>
  <c r="AH360" i="6" s="1"/>
  <c r="AH361" i="6" s="1"/>
  <c r="AH362" i="6" s="1"/>
  <c r="AH363" i="6" s="1"/>
  <c r="AH364" i="6" s="1"/>
  <c r="AH365" i="6" s="1"/>
  <c r="AH366" i="6" s="1"/>
  <c r="AH367" i="6" s="1"/>
  <c r="AH368" i="6" s="1"/>
  <c r="AH369" i="6" s="1"/>
  <c r="AH370" i="6" s="1"/>
  <c r="AH371" i="6" s="1"/>
  <c r="AH372" i="6" s="1"/>
  <c r="AH373" i="6" s="1"/>
  <c r="AH374" i="6" s="1"/>
  <c r="AH375" i="6" s="1"/>
  <c r="AH376" i="6" s="1"/>
  <c r="AH377" i="6" s="1"/>
  <c r="AH378" i="6" s="1"/>
  <c r="AH379" i="6" s="1"/>
  <c r="AH380" i="6" s="1"/>
  <c r="AH381" i="6" s="1"/>
  <c r="AH382" i="6" s="1"/>
  <c r="AH383" i="6" s="1"/>
  <c r="AH384" i="6" s="1"/>
  <c r="AH385" i="6" s="1"/>
  <c r="AH386" i="6" s="1"/>
  <c r="AH387" i="6" s="1"/>
  <c r="AH388" i="6" s="1"/>
  <c r="AH389" i="6" s="1"/>
  <c r="AH390" i="6" s="1"/>
  <c r="AH391" i="6" s="1"/>
  <c r="AH392" i="6" s="1"/>
  <c r="AH393" i="6" s="1"/>
  <c r="AH394" i="6" s="1"/>
  <c r="AH395" i="6" s="1"/>
  <c r="AH396" i="6" s="1"/>
  <c r="AH397" i="6" s="1"/>
  <c r="AH398" i="6" s="1"/>
  <c r="AH399" i="6" s="1"/>
  <c r="AF45" i="6"/>
  <c r="AF46" i="6" s="1"/>
  <c r="AF47" i="6" s="1"/>
  <c r="AF48" i="6" s="1"/>
  <c r="AF49" i="6" s="1"/>
  <c r="AF50" i="6" s="1"/>
  <c r="AF51" i="6" s="1"/>
  <c r="AF52" i="6" s="1"/>
  <c r="AF53" i="6" s="1"/>
  <c r="AF54" i="6" s="1"/>
  <c r="AF55" i="6" s="1"/>
  <c r="AF56" i="6" s="1"/>
  <c r="AF57" i="6" s="1"/>
  <c r="AF58" i="6" s="1"/>
  <c r="AF59" i="6" s="1"/>
  <c r="AF60" i="6" s="1"/>
  <c r="AF61" i="6" s="1"/>
  <c r="AF62" i="6" s="1"/>
  <c r="AF63" i="6" s="1"/>
  <c r="AF64" i="6" s="1"/>
  <c r="AF65" i="6" s="1"/>
  <c r="AF66" i="6" s="1"/>
  <c r="AF67" i="6" s="1"/>
  <c r="AF68" i="6" s="1"/>
  <c r="AF69" i="6" s="1"/>
  <c r="AF70" i="6" s="1"/>
  <c r="AF71" i="6" s="1"/>
  <c r="AF72" i="6" s="1"/>
  <c r="AF73" i="6" s="1"/>
  <c r="AF74" i="6" s="1"/>
  <c r="AF75" i="6" s="1"/>
  <c r="AF76" i="6" s="1"/>
  <c r="AF77" i="6" s="1"/>
  <c r="AF78" i="6" s="1"/>
  <c r="AF79" i="6" s="1"/>
  <c r="AF80" i="6" s="1"/>
  <c r="AF81" i="6" s="1"/>
  <c r="AF82" i="6" s="1"/>
  <c r="AF83" i="6" s="1"/>
  <c r="AF84" i="6" s="1"/>
  <c r="AF85" i="6" s="1"/>
  <c r="AF86" i="6" s="1"/>
  <c r="AF87" i="6" s="1"/>
  <c r="AF88" i="6" s="1"/>
  <c r="AF89" i="6" s="1"/>
  <c r="AF90" i="6" s="1"/>
  <c r="AF91" i="6" s="1"/>
  <c r="AF92" i="6" s="1"/>
  <c r="AF93" i="6" s="1"/>
  <c r="AF94" i="6" s="1"/>
  <c r="AF95" i="6" s="1"/>
  <c r="AF96" i="6" s="1"/>
  <c r="AF97" i="6" s="1"/>
  <c r="AF98" i="6" s="1"/>
  <c r="AF99" i="6" s="1"/>
  <c r="AF100" i="6" s="1"/>
  <c r="AF101" i="6" s="1"/>
  <c r="AF102" i="6" s="1"/>
  <c r="AF103" i="6" s="1"/>
  <c r="AF104" i="6" s="1"/>
  <c r="AF105" i="6" s="1"/>
  <c r="AF106" i="6" s="1"/>
  <c r="AF107" i="6" s="1"/>
  <c r="AF108" i="6" s="1"/>
  <c r="AF109" i="6" s="1"/>
  <c r="AF110" i="6" s="1"/>
  <c r="AF111" i="6" s="1"/>
  <c r="AF112" i="6" s="1"/>
  <c r="AF113" i="6" s="1"/>
  <c r="AF114" i="6" s="1"/>
  <c r="AF115" i="6" s="1"/>
  <c r="AF116" i="6" s="1"/>
  <c r="AF117" i="6" s="1"/>
  <c r="AF118" i="6" s="1"/>
  <c r="AF119" i="6" s="1"/>
  <c r="AF120" i="6" s="1"/>
  <c r="AF121" i="6" s="1"/>
  <c r="AF122" i="6" s="1"/>
  <c r="AF123" i="6" s="1"/>
  <c r="AF124" i="6" s="1"/>
  <c r="AF125" i="6" s="1"/>
  <c r="AF126" i="6" s="1"/>
  <c r="AF127" i="6" s="1"/>
  <c r="AF128" i="6" s="1"/>
  <c r="AF129" i="6" s="1"/>
  <c r="AF130" i="6" s="1"/>
  <c r="AF131" i="6" s="1"/>
  <c r="AF132" i="6" s="1"/>
  <c r="AF133" i="6" s="1"/>
  <c r="AF134" i="6" s="1"/>
  <c r="AF135" i="6" s="1"/>
  <c r="AF136" i="6" s="1"/>
  <c r="AF137" i="6" s="1"/>
  <c r="AF138" i="6" s="1"/>
  <c r="AF139" i="6" s="1"/>
  <c r="AF140" i="6" s="1"/>
  <c r="AF141" i="6" s="1"/>
  <c r="AF142" i="6" s="1"/>
  <c r="AF143" i="6" s="1"/>
  <c r="AF144" i="6" s="1"/>
  <c r="AF145" i="6" s="1"/>
  <c r="AF146" i="6" s="1"/>
  <c r="AF147" i="6" s="1"/>
  <c r="AF148" i="6" s="1"/>
  <c r="AF149" i="6" s="1"/>
  <c r="AF150" i="6" s="1"/>
  <c r="AF151" i="6" s="1"/>
  <c r="AF152" i="6" s="1"/>
  <c r="AF153" i="6" s="1"/>
  <c r="AF154" i="6" s="1"/>
  <c r="AF155" i="6" s="1"/>
  <c r="AF156" i="6" s="1"/>
  <c r="AF157" i="6" s="1"/>
  <c r="AF158" i="6" s="1"/>
  <c r="AF159" i="6" s="1"/>
  <c r="AF160" i="6" s="1"/>
  <c r="AF161" i="6" s="1"/>
  <c r="AF162" i="6" s="1"/>
  <c r="AF163" i="6" s="1"/>
  <c r="AF164" i="6" s="1"/>
  <c r="AF165" i="6" s="1"/>
  <c r="AF166" i="6" s="1"/>
  <c r="AF167" i="6" s="1"/>
  <c r="AF168" i="6" s="1"/>
  <c r="AF169" i="6" s="1"/>
  <c r="AF170" i="6" s="1"/>
  <c r="AF171" i="6" s="1"/>
  <c r="AF172" i="6" s="1"/>
  <c r="AF173" i="6" s="1"/>
  <c r="AF174" i="6" s="1"/>
  <c r="AF175" i="6" s="1"/>
  <c r="AF176" i="6" s="1"/>
  <c r="AF177" i="6" s="1"/>
  <c r="AF178" i="6" s="1"/>
  <c r="AF179" i="6" s="1"/>
  <c r="AF180" i="6" s="1"/>
  <c r="AF181" i="6" s="1"/>
  <c r="AF182" i="6" s="1"/>
  <c r="AF183" i="6" s="1"/>
  <c r="AF184" i="6" s="1"/>
  <c r="AF185" i="6" s="1"/>
  <c r="AF186" i="6" s="1"/>
  <c r="AF187" i="6" s="1"/>
  <c r="AF188" i="6" s="1"/>
  <c r="AF189" i="6" s="1"/>
  <c r="AF190" i="6" s="1"/>
  <c r="AF191" i="6" s="1"/>
  <c r="AF192" i="6" s="1"/>
  <c r="AF193" i="6" s="1"/>
  <c r="AF194" i="6" s="1"/>
  <c r="AF195" i="6" s="1"/>
  <c r="AF196" i="6" s="1"/>
  <c r="AF197" i="6" s="1"/>
  <c r="AF198" i="6" s="1"/>
  <c r="AF199" i="6" s="1"/>
  <c r="AF200" i="6" s="1"/>
  <c r="AF201" i="6" s="1"/>
  <c r="AF202" i="6" s="1"/>
  <c r="AF203" i="6" s="1"/>
  <c r="AF204" i="6" s="1"/>
  <c r="AF205" i="6" s="1"/>
  <c r="AF206" i="6" s="1"/>
  <c r="AF207" i="6" s="1"/>
  <c r="AF208" i="6" s="1"/>
  <c r="AF209" i="6" s="1"/>
  <c r="AF210" i="6" s="1"/>
  <c r="AF211" i="6" s="1"/>
  <c r="AF212" i="6" s="1"/>
  <c r="AF213" i="6" s="1"/>
  <c r="AF214" i="6" s="1"/>
  <c r="AF215" i="6" s="1"/>
  <c r="AF216" i="6" s="1"/>
  <c r="AF217" i="6" s="1"/>
  <c r="AF218" i="6" s="1"/>
  <c r="AF219" i="6" s="1"/>
  <c r="AF220" i="6" s="1"/>
  <c r="AF221" i="6" s="1"/>
  <c r="AF222" i="6" s="1"/>
  <c r="AF223" i="6" s="1"/>
  <c r="AF224" i="6" s="1"/>
  <c r="AF225" i="6" s="1"/>
  <c r="AF226" i="6" s="1"/>
  <c r="AF227" i="6" s="1"/>
  <c r="AF228" i="6" s="1"/>
  <c r="AF229" i="6" s="1"/>
  <c r="AF230" i="6" s="1"/>
  <c r="AF231" i="6" s="1"/>
  <c r="AF232" i="6" s="1"/>
  <c r="AF233" i="6" s="1"/>
  <c r="AF234" i="6" s="1"/>
  <c r="AF235" i="6" s="1"/>
  <c r="AF236" i="6" s="1"/>
  <c r="AF237" i="6" s="1"/>
  <c r="AF238" i="6" s="1"/>
  <c r="AF239" i="6" s="1"/>
  <c r="AF240" i="6" s="1"/>
  <c r="AF241" i="6" s="1"/>
  <c r="AF242" i="6" s="1"/>
  <c r="AF243" i="6" s="1"/>
  <c r="AF244" i="6" s="1"/>
  <c r="AF245" i="6" s="1"/>
  <c r="AF246" i="6" s="1"/>
  <c r="AF247" i="6" s="1"/>
  <c r="AF248" i="6" s="1"/>
  <c r="AF249" i="6" s="1"/>
  <c r="AF250" i="6" s="1"/>
  <c r="AF251" i="6" s="1"/>
  <c r="AF252" i="6" s="1"/>
  <c r="AF253" i="6" s="1"/>
  <c r="AF254" i="6" s="1"/>
  <c r="AF255" i="6" s="1"/>
  <c r="AF256" i="6" s="1"/>
  <c r="AF257" i="6" s="1"/>
  <c r="AF258" i="6" s="1"/>
  <c r="AF259" i="6" s="1"/>
  <c r="AF260" i="6" s="1"/>
  <c r="AF261" i="6" s="1"/>
  <c r="AF262" i="6" s="1"/>
  <c r="AF263" i="6" s="1"/>
  <c r="AF264" i="6" s="1"/>
  <c r="AF265" i="6" s="1"/>
  <c r="AF266" i="6" s="1"/>
  <c r="AF267" i="6" s="1"/>
  <c r="AF268" i="6" s="1"/>
  <c r="AF269" i="6" s="1"/>
  <c r="AF270" i="6" s="1"/>
  <c r="AF271" i="6" s="1"/>
  <c r="AF272" i="6" s="1"/>
  <c r="AF273" i="6" s="1"/>
  <c r="AF274" i="6" s="1"/>
  <c r="AF275" i="6" s="1"/>
  <c r="AF276" i="6" s="1"/>
  <c r="AF277" i="6" s="1"/>
  <c r="AF278" i="6" s="1"/>
  <c r="AF279" i="6" s="1"/>
  <c r="AF280" i="6" s="1"/>
  <c r="AF281" i="6" s="1"/>
  <c r="AF282" i="6" s="1"/>
  <c r="AF283" i="6" s="1"/>
  <c r="AF284" i="6" s="1"/>
  <c r="AF285" i="6" s="1"/>
  <c r="AF286" i="6" s="1"/>
  <c r="AF287" i="6" s="1"/>
  <c r="AF288" i="6" s="1"/>
  <c r="AF289" i="6" s="1"/>
  <c r="AF290" i="6" s="1"/>
  <c r="AF291" i="6" s="1"/>
  <c r="AF292" i="6" s="1"/>
  <c r="AF293" i="6" s="1"/>
  <c r="AF294" i="6" s="1"/>
  <c r="AF295" i="6" s="1"/>
  <c r="AF296" i="6" s="1"/>
  <c r="AF297" i="6" s="1"/>
  <c r="AF298" i="6" s="1"/>
  <c r="AF299" i="6" s="1"/>
  <c r="AF300" i="6" s="1"/>
  <c r="AF301" i="6" s="1"/>
  <c r="AF302" i="6" s="1"/>
  <c r="AF303" i="6" s="1"/>
  <c r="AF304" i="6" s="1"/>
  <c r="AF305" i="6" s="1"/>
  <c r="AF306" i="6" s="1"/>
  <c r="AF307" i="6" s="1"/>
  <c r="AF308" i="6" s="1"/>
  <c r="AF309" i="6" s="1"/>
  <c r="AF310" i="6" s="1"/>
  <c r="AF311" i="6" s="1"/>
  <c r="AF312" i="6" s="1"/>
  <c r="AF313" i="6" s="1"/>
  <c r="AF314" i="6" s="1"/>
  <c r="AF315" i="6" s="1"/>
  <c r="AF316" i="6" s="1"/>
  <c r="AF317" i="6" s="1"/>
  <c r="AF318" i="6" s="1"/>
  <c r="AF319" i="6" s="1"/>
  <c r="AF320" i="6" s="1"/>
  <c r="AF321" i="6" s="1"/>
  <c r="AF322" i="6" s="1"/>
  <c r="AF323" i="6" s="1"/>
  <c r="AF324" i="6" s="1"/>
  <c r="AF325" i="6" s="1"/>
  <c r="AF326" i="6" s="1"/>
  <c r="AF327" i="6" s="1"/>
  <c r="AF328" i="6" s="1"/>
  <c r="AF329" i="6" s="1"/>
  <c r="AF330" i="6" s="1"/>
  <c r="AF331" i="6" s="1"/>
  <c r="AF332" i="6" s="1"/>
  <c r="AF333" i="6" s="1"/>
  <c r="AF334" i="6" s="1"/>
  <c r="AF335" i="6" s="1"/>
  <c r="AF336" i="6" s="1"/>
  <c r="AF337" i="6" s="1"/>
  <c r="AF338" i="6" s="1"/>
  <c r="AF339" i="6" s="1"/>
  <c r="AF340" i="6" s="1"/>
  <c r="AF341" i="6" s="1"/>
  <c r="AF342" i="6" s="1"/>
  <c r="AF343" i="6" s="1"/>
  <c r="AF344" i="6" s="1"/>
  <c r="AF345" i="6" s="1"/>
  <c r="AF346" i="6" s="1"/>
  <c r="AF347" i="6" s="1"/>
  <c r="AF348" i="6" s="1"/>
  <c r="AF349" i="6" s="1"/>
  <c r="AF350" i="6" s="1"/>
  <c r="AF351" i="6" s="1"/>
  <c r="AF352" i="6" s="1"/>
  <c r="AF353" i="6" s="1"/>
  <c r="AF354" i="6" s="1"/>
  <c r="AF355" i="6" s="1"/>
  <c r="AF356" i="6" s="1"/>
  <c r="AF357" i="6" s="1"/>
  <c r="AF358" i="6" s="1"/>
  <c r="AF359" i="6" s="1"/>
  <c r="AF360" i="6" s="1"/>
  <c r="AF361" i="6" s="1"/>
  <c r="AF362" i="6" s="1"/>
  <c r="AF363" i="6" s="1"/>
  <c r="AF364" i="6" s="1"/>
  <c r="AF365" i="6" s="1"/>
  <c r="AF366" i="6" s="1"/>
  <c r="AF367" i="6" s="1"/>
  <c r="AF368" i="6" s="1"/>
  <c r="AF369" i="6" s="1"/>
  <c r="AF370" i="6" s="1"/>
  <c r="AF371" i="6" s="1"/>
  <c r="AF372" i="6" s="1"/>
  <c r="AF373" i="6" s="1"/>
  <c r="AF374" i="6" s="1"/>
  <c r="AF375" i="6" s="1"/>
  <c r="AF376" i="6" s="1"/>
  <c r="AF377" i="6" s="1"/>
  <c r="AF378" i="6" s="1"/>
  <c r="AF379" i="6" s="1"/>
  <c r="AF380" i="6" s="1"/>
  <c r="AF381" i="6" s="1"/>
  <c r="AF382" i="6" s="1"/>
  <c r="AF383" i="6" s="1"/>
  <c r="AF384" i="6" s="1"/>
  <c r="AF385" i="6" s="1"/>
  <c r="AF386" i="6" s="1"/>
  <c r="AF387" i="6" s="1"/>
  <c r="AF388" i="6" s="1"/>
  <c r="AF389" i="6" s="1"/>
  <c r="AF390" i="6" s="1"/>
  <c r="AF391" i="6" s="1"/>
  <c r="AF392" i="6" s="1"/>
  <c r="AF393" i="6" s="1"/>
  <c r="AF394" i="6" s="1"/>
  <c r="AF395" i="6" s="1"/>
  <c r="AF396" i="6" s="1"/>
  <c r="AF397" i="6" s="1"/>
  <c r="AF398" i="6" s="1"/>
  <c r="AF399" i="6" s="1"/>
  <c r="AE45" i="6"/>
  <c r="AE46" i="6" s="1"/>
  <c r="AE47" i="6" s="1"/>
  <c r="AE48" i="6" s="1"/>
  <c r="AE49" i="6" s="1"/>
  <c r="AE50" i="6" s="1"/>
  <c r="AE51" i="6" s="1"/>
  <c r="AE52" i="6" s="1"/>
  <c r="AE53" i="6" s="1"/>
  <c r="AE54" i="6" s="1"/>
  <c r="AE55" i="6" s="1"/>
  <c r="AE56" i="6" s="1"/>
  <c r="AE57" i="6" s="1"/>
  <c r="AE58" i="6" s="1"/>
  <c r="AE59" i="6" s="1"/>
  <c r="AE60" i="6" s="1"/>
  <c r="AE61" i="6" s="1"/>
  <c r="AE62" i="6" s="1"/>
  <c r="AE63" i="6" s="1"/>
  <c r="AE64" i="6" s="1"/>
  <c r="AE65" i="6" s="1"/>
  <c r="AE66" i="6" s="1"/>
  <c r="AE67" i="6" s="1"/>
  <c r="AE68" i="6" s="1"/>
  <c r="AE69" i="6" s="1"/>
  <c r="AE70" i="6" s="1"/>
  <c r="AE71" i="6" s="1"/>
  <c r="AE72" i="6" s="1"/>
  <c r="AE73" i="6" s="1"/>
  <c r="AE74" i="6" s="1"/>
  <c r="AE75" i="6" s="1"/>
  <c r="AE76" i="6" s="1"/>
  <c r="AE77" i="6" s="1"/>
  <c r="AE78" i="6" s="1"/>
  <c r="AE79" i="6" s="1"/>
  <c r="AE80" i="6" s="1"/>
  <c r="AE81" i="6" s="1"/>
  <c r="AE82" i="6" s="1"/>
  <c r="AE83" i="6" s="1"/>
  <c r="AE84" i="6" s="1"/>
  <c r="AE85" i="6" s="1"/>
  <c r="AE86" i="6" s="1"/>
  <c r="AE87" i="6" s="1"/>
  <c r="AE88" i="6" s="1"/>
  <c r="AE89" i="6" s="1"/>
  <c r="AE90" i="6" s="1"/>
  <c r="AE91" i="6" s="1"/>
  <c r="AE92" i="6" s="1"/>
  <c r="AE93" i="6" s="1"/>
  <c r="AE94" i="6" s="1"/>
  <c r="AE95" i="6" s="1"/>
  <c r="AE96" i="6" s="1"/>
  <c r="AE97" i="6" s="1"/>
  <c r="AE98" i="6" s="1"/>
  <c r="AE99" i="6" s="1"/>
  <c r="AE100" i="6" s="1"/>
  <c r="AE101" i="6" s="1"/>
  <c r="AE102" i="6" s="1"/>
  <c r="AE103" i="6" s="1"/>
  <c r="AE104" i="6" s="1"/>
  <c r="AE105" i="6" s="1"/>
  <c r="AE106" i="6" s="1"/>
  <c r="AE107" i="6" s="1"/>
  <c r="AE108" i="6" s="1"/>
  <c r="AE109" i="6" s="1"/>
  <c r="AE110" i="6" s="1"/>
  <c r="AE111" i="6" s="1"/>
  <c r="AE112" i="6" s="1"/>
  <c r="AE113" i="6" s="1"/>
  <c r="AE114" i="6" s="1"/>
  <c r="AE115" i="6" s="1"/>
  <c r="AE116" i="6" s="1"/>
  <c r="AE117" i="6" s="1"/>
  <c r="AE118" i="6" s="1"/>
  <c r="AE119" i="6" s="1"/>
  <c r="AE120" i="6" s="1"/>
  <c r="AE121" i="6" s="1"/>
  <c r="AE122" i="6" s="1"/>
  <c r="AE123" i="6" s="1"/>
  <c r="AE124" i="6" s="1"/>
  <c r="AE125" i="6" s="1"/>
  <c r="AE126" i="6" s="1"/>
  <c r="AE127" i="6" s="1"/>
  <c r="AE128" i="6" s="1"/>
  <c r="AE129" i="6" s="1"/>
  <c r="AE130" i="6" s="1"/>
  <c r="AE131" i="6" s="1"/>
  <c r="AE132" i="6" s="1"/>
  <c r="AE133" i="6" s="1"/>
  <c r="AE134" i="6" s="1"/>
  <c r="AE135" i="6" s="1"/>
  <c r="AE136" i="6" s="1"/>
  <c r="AE137" i="6" s="1"/>
  <c r="AE138" i="6" s="1"/>
  <c r="AE139" i="6" s="1"/>
  <c r="AE140" i="6" s="1"/>
  <c r="AE141" i="6" s="1"/>
  <c r="AE142" i="6" s="1"/>
  <c r="AE143" i="6" s="1"/>
  <c r="AE144" i="6" s="1"/>
  <c r="AE145" i="6" s="1"/>
  <c r="AE146" i="6" s="1"/>
  <c r="AE147" i="6" s="1"/>
  <c r="AE148" i="6" s="1"/>
  <c r="AE149" i="6" s="1"/>
  <c r="AE150" i="6" s="1"/>
  <c r="AE151" i="6" s="1"/>
  <c r="AE152" i="6" s="1"/>
  <c r="AE153" i="6" s="1"/>
  <c r="AE154" i="6" s="1"/>
  <c r="AE155" i="6" s="1"/>
  <c r="AE156" i="6" s="1"/>
  <c r="AE157" i="6" s="1"/>
  <c r="AE158" i="6" s="1"/>
  <c r="AE159" i="6" s="1"/>
  <c r="AE160" i="6" s="1"/>
  <c r="AE161" i="6" s="1"/>
  <c r="AE162" i="6" s="1"/>
  <c r="AE163" i="6" s="1"/>
  <c r="AE164" i="6" s="1"/>
  <c r="AE165" i="6" s="1"/>
  <c r="AE166" i="6" s="1"/>
  <c r="AE167" i="6" s="1"/>
  <c r="AE168" i="6" s="1"/>
  <c r="AE169" i="6" s="1"/>
  <c r="AE170" i="6" s="1"/>
  <c r="AE171" i="6" s="1"/>
  <c r="AE172" i="6" s="1"/>
  <c r="AE173" i="6" s="1"/>
  <c r="AE174" i="6" s="1"/>
  <c r="AE175" i="6" s="1"/>
  <c r="AE176" i="6" s="1"/>
  <c r="AE177" i="6" s="1"/>
  <c r="AE178" i="6" s="1"/>
  <c r="AE179" i="6" s="1"/>
  <c r="AE180" i="6" s="1"/>
  <c r="AE181" i="6" s="1"/>
  <c r="AE182" i="6" s="1"/>
  <c r="AE183" i="6" s="1"/>
  <c r="AE184" i="6" s="1"/>
  <c r="AE185" i="6" s="1"/>
  <c r="AE186" i="6" s="1"/>
  <c r="AE187" i="6" s="1"/>
  <c r="AE188" i="6" s="1"/>
  <c r="AE189" i="6" s="1"/>
  <c r="AE190" i="6" s="1"/>
  <c r="AE191" i="6" s="1"/>
  <c r="AE192" i="6" s="1"/>
  <c r="AE193" i="6" s="1"/>
  <c r="AE194" i="6" s="1"/>
  <c r="AE195" i="6" s="1"/>
  <c r="AE196" i="6" s="1"/>
  <c r="AE197" i="6" s="1"/>
  <c r="AE198" i="6" s="1"/>
  <c r="AE199" i="6" s="1"/>
  <c r="AE200" i="6" s="1"/>
  <c r="AE201" i="6" s="1"/>
  <c r="AE202" i="6" s="1"/>
  <c r="AE203" i="6" s="1"/>
  <c r="AE204" i="6" s="1"/>
  <c r="AE205" i="6" s="1"/>
  <c r="AE206" i="6" s="1"/>
  <c r="AE207" i="6" s="1"/>
  <c r="AE208" i="6" s="1"/>
  <c r="AE209" i="6" s="1"/>
  <c r="AE210" i="6" s="1"/>
  <c r="AE211" i="6" s="1"/>
  <c r="AE212" i="6" s="1"/>
  <c r="AE213" i="6" s="1"/>
  <c r="AE214" i="6" s="1"/>
  <c r="AE215" i="6" s="1"/>
  <c r="AE216" i="6" s="1"/>
  <c r="AE217" i="6" s="1"/>
  <c r="AE218" i="6" s="1"/>
  <c r="AE219" i="6" s="1"/>
  <c r="AE220" i="6" s="1"/>
  <c r="AE221" i="6" s="1"/>
  <c r="AE222" i="6" s="1"/>
  <c r="AE223" i="6" s="1"/>
  <c r="AE224" i="6" s="1"/>
  <c r="AE225" i="6" s="1"/>
  <c r="AE226" i="6" s="1"/>
  <c r="AE227" i="6" s="1"/>
  <c r="AE228" i="6" s="1"/>
  <c r="AE229" i="6" s="1"/>
  <c r="AE230" i="6" s="1"/>
  <c r="AE231" i="6" s="1"/>
  <c r="AE232" i="6" s="1"/>
  <c r="AE233" i="6" s="1"/>
  <c r="AE234" i="6" s="1"/>
  <c r="AE235" i="6" s="1"/>
  <c r="AE236" i="6" s="1"/>
  <c r="AE237" i="6" s="1"/>
  <c r="AE238" i="6" s="1"/>
  <c r="AE239" i="6" s="1"/>
  <c r="AE240" i="6" s="1"/>
  <c r="AE241" i="6" s="1"/>
  <c r="AE242" i="6" s="1"/>
  <c r="AE243" i="6" s="1"/>
  <c r="AE244" i="6" s="1"/>
  <c r="AE245" i="6" s="1"/>
  <c r="AE246" i="6" s="1"/>
  <c r="AE247" i="6" s="1"/>
  <c r="AE248" i="6" s="1"/>
  <c r="AE249" i="6" s="1"/>
  <c r="AE250" i="6" s="1"/>
  <c r="AE251" i="6" s="1"/>
  <c r="AE252" i="6" s="1"/>
  <c r="AE253" i="6" s="1"/>
  <c r="AE254" i="6" s="1"/>
  <c r="AE255" i="6" s="1"/>
  <c r="AE256" i="6" s="1"/>
  <c r="AE257" i="6" s="1"/>
  <c r="AE258" i="6" s="1"/>
  <c r="AE259" i="6" s="1"/>
  <c r="AE260" i="6" s="1"/>
  <c r="AE261" i="6" s="1"/>
  <c r="AE262" i="6" s="1"/>
  <c r="AE263" i="6" s="1"/>
  <c r="AE264" i="6" s="1"/>
  <c r="AE265" i="6" s="1"/>
  <c r="AE266" i="6" s="1"/>
  <c r="AE267" i="6" s="1"/>
  <c r="AE268" i="6" s="1"/>
  <c r="AE269" i="6" s="1"/>
  <c r="AE270" i="6" s="1"/>
  <c r="AE271" i="6" s="1"/>
  <c r="AE272" i="6" s="1"/>
  <c r="AE273" i="6" s="1"/>
  <c r="AE274" i="6" s="1"/>
  <c r="AE275" i="6" s="1"/>
  <c r="AE276" i="6" s="1"/>
  <c r="AE277" i="6" s="1"/>
  <c r="AE278" i="6" s="1"/>
  <c r="AE279" i="6" s="1"/>
  <c r="AE280" i="6" s="1"/>
  <c r="AE281" i="6" s="1"/>
  <c r="AE282" i="6" s="1"/>
  <c r="AE283" i="6" s="1"/>
  <c r="AE284" i="6" s="1"/>
  <c r="AE285" i="6" s="1"/>
  <c r="AE286" i="6" s="1"/>
  <c r="AE287" i="6" s="1"/>
  <c r="AE288" i="6" s="1"/>
  <c r="AE289" i="6" s="1"/>
  <c r="AE290" i="6" s="1"/>
  <c r="AE291" i="6" s="1"/>
  <c r="AE292" i="6" s="1"/>
  <c r="AE293" i="6" s="1"/>
  <c r="AE294" i="6" s="1"/>
  <c r="AE295" i="6" s="1"/>
  <c r="AE296" i="6" s="1"/>
  <c r="AE297" i="6" s="1"/>
  <c r="AE298" i="6" s="1"/>
  <c r="AE299" i="6" s="1"/>
  <c r="AE300" i="6" s="1"/>
  <c r="AE301" i="6" s="1"/>
  <c r="AE302" i="6" s="1"/>
  <c r="AE303" i="6" s="1"/>
  <c r="AE304" i="6" s="1"/>
  <c r="AE305" i="6" s="1"/>
  <c r="AE306" i="6" s="1"/>
  <c r="AE307" i="6" s="1"/>
  <c r="AE308" i="6" s="1"/>
  <c r="AE309" i="6" s="1"/>
  <c r="AE310" i="6" s="1"/>
  <c r="AE311" i="6" s="1"/>
  <c r="AE312" i="6" s="1"/>
  <c r="AE313" i="6" s="1"/>
  <c r="AE314" i="6" s="1"/>
  <c r="AE315" i="6" s="1"/>
  <c r="AE316" i="6" s="1"/>
  <c r="AE317" i="6" s="1"/>
  <c r="AE318" i="6" s="1"/>
  <c r="AE319" i="6" s="1"/>
  <c r="AE320" i="6" s="1"/>
  <c r="AE321" i="6" s="1"/>
  <c r="AE322" i="6" s="1"/>
  <c r="AE323" i="6" s="1"/>
  <c r="AE324" i="6" s="1"/>
  <c r="AE325" i="6" s="1"/>
  <c r="AE326" i="6" s="1"/>
  <c r="AE327" i="6" s="1"/>
  <c r="AE328" i="6" s="1"/>
  <c r="AE329" i="6" s="1"/>
  <c r="AE330" i="6" s="1"/>
  <c r="AE331" i="6" s="1"/>
  <c r="AE332" i="6" s="1"/>
  <c r="AE333" i="6" s="1"/>
  <c r="AE334" i="6" s="1"/>
  <c r="AE335" i="6" s="1"/>
  <c r="AE336" i="6" s="1"/>
  <c r="AE337" i="6" s="1"/>
  <c r="AE338" i="6" s="1"/>
  <c r="AE339" i="6" s="1"/>
  <c r="AE340" i="6" s="1"/>
  <c r="AE341" i="6" s="1"/>
  <c r="AE342" i="6" s="1"/>
  <c r="AE343" i="6" s="1"/>
  <c r="AE344" i="6" s="1"/>
  <c r="AE345" i="6" s="1"/>
  <c r="AE346" i="6" s="1"/>
  <c r="AE347" i="6" s="1"/>
  <c r="AE348" i="6" s="1"/>
  <c r="AE349" i="6" s="1"/>
  <c r="AE350" i="6" s="1"/>
  <c r="AE351" i="6" s="1"/>
  <c r="AE352" i="6" s="1"/>
  <c r="AE353" i="6" s="1"/>
  <c r="AE354" i="6" s="1"/>
  <c r="AE355" i="6" s="1"/>
  <c r="AE356" i="6" s="1"/>
  <c r="AE357" i="6" s="1"/>
  <c r="AE358" i="6" s="1"/>
  <c r="AE359" i="6" s="1"/>
  <c r="AE360" i="6" s="1"/>
  <c r="AE361" i="6" s="1"/>
  <c r="AE362" i="6" s="1"/>
  <c r="AE363" i="6" s="1"/>
  <c r="AE364" i="6" s="1"/>
  <c r="AE365" i="6" s="1"/>
  <c r="AE366" i="6" s="1"/>
  <c r="AE367" i="6" s="1"/>
  <c r="AE368" i="6" s="1"/>
  <c r="AE369" i="6" s="1"/>
  <c r="AE370" i="6" s="1"/>
  <c r="AE371" i="6" s="1"/>
  <c r="AE372" i="6" s="1"/>
  <c r="AE373" i="6" s="1"/>
  <c r="AE374" i="6" s="1"/>
  <c r="AE375" i="6" s="1"/>
  <c r="AE376" i="6" s="1"/>
  <c r="AE377" i="6" s="1"/>
  <c r="AE378" i="6" s="1"/>
  <c r="AE379" i="6" s="1"/>
  <c r="AE380" i="6" s="1"/>
  <c r="AE381" i="6" s="1"/>
  <c r="AE382" i="6" s="1"/>
  <c r="AE383" i="6" s="1"/>
  <c r="AE384" i="6" s="1"/>
  <c r="AE385" i="6" s="1"/>
  <c r="AE386" i="6" s="1"/>
  <c r="AE387" i="6" s="1"/>
  <c r="AE388" i="6" s="1"/>
  <c r="AE389" i="6" s="1"/>
  <c r="AE390" i="6" s="1"/>
  <c r="AE391" i="6" s="1"/>
  <c r="AE392" i="6" s="1"/>
  <c r="AE393" i="6" s="1"/>
  <c r="AE394" i="6" s="1"/>
  <c r="AE395" i="6" s="1"/>
  <c r="AE396" i="6" s="1"/>
  <c r="AE397" i="6" s="1"/>
  <c r="AE398" i="6" s="1"/>
  <c r="AE399" i="6" s="1"/>
</calcChain>
</file>

<file path=xl/sharedStrings.xml><?xml version="1.0" encoding="utf-8"?>
<sst xmlns="http://schemas.openxmlformats.org/spreadsheetml/2006/main" count="1610" uniqueCount="482">
  <si>
    <t>Grade:</t>
  </si>
  <si>
    <t>M</t>
  </si>
  <si>
    <t>T</t>
  </si>
  <si>
    <t>W</t>
  </si>
  <si>
    <t>H</t>
  </si>
  <si>
    <t>F</t>
  </si>
  <si>
    <t>JULY</t>
  </si>
  <si>
    <t>OCTOBER</t>
  </si>
  <si>
    <t>JANUARY</t>
  </si>
  <si>
    <t>APRIL</t>
  </si>
  <si>
    <t>July</t>
  </si>
  <si>
    <t>Oct</t>
  </si>
  <si>
    <t>Jan</t>
  </si>
  <si>
    <t>Apr</t>
  </si>
  <si>
    <t>Total</t>
  </si>
  <si>
    <t>Days</t>
  </si>
  <si>
    <t>AUGUST</t>
  </si>
  <si>
    <t>NOVEMBER</t>
  </si>
  <si>
    <t>FEBRUARY</t>
  </si>
  <si>
    <t>MAY</t>
  </si>
  <si>
    <t>Aug</t>
  </si>
  <si>
    <t>Nov</t>
  </si>
  <si>
    <t>Feb</t>
  </si>
  <si>
    <t>May</t>
  </si>
  <si>
    <t>SEPTEMBER</t>
  </si>
  <si>
    <t>DECEMBER</t>
  </si>
  <si>
    <t>MARCH</t>
  </si>
  <si>
    <t>Sept</t>
  </si>
  <si>
    <t>Dec</t>
  </si>
  <si>
    <t>Mar</t>
  </si>
  <si>
    <t>Holidays</t>
  </si>
  <si>
    <t>Not Working</t>
  </si>
  <si>
    <t>Non-contract days</t>
  </si>
  <si>
    <t>Half Day</t>
  </si>
  <si>
    <t>Parent-Teacher Conference Dates</t>
  </si>
  <si>
    <t>Full Day</t>
  </si>
  <si>
    <t>Total Contract Days</t>
  </si>
  <si>
    <r>
      <t>Professional Development Dates</t>
    </r>
    <r>
      <rPr>
        <b/>
        <sz val="10"/>
        <rFont val="Calibri"/>
        <family val="2"/>
        <scheme val="minor"/>
      </rPr>
      <t xml:space="preserve"> Required</t>
    </r>
  </si>
  <si>
    <t>Parent-Teacher Conferences (PTC)</t>
  </si>
  <si>
    <t>Up to 2 PTC dates may be included in the total contract.  Any additional PTC dates worked must be approved by the Principal and submitted on a time sheet.  Note to Principal:  May not be paid from budget 0050.</t>
  </si>
  <si>
    <t>1)</t>
  </si>
  <si>
    <t>2)</t>
  </si>
  <si>
    <t xml:space="preserve">Teacher 2: </t>
  </si>
  <si>
    <t>o</t>
  </si>
  <si>
    <t>Key</t>
  </si>
  <si>
    <t>Non Working Day</t>
  </si>
  <si>
    <t>Combined Worksheet</t>
  </si>
  <si>
    <t>UPPER</t>
  </si>
  <si>
    <t>lower</t>
  </si>
  <si>
    <t>Teacher:</t>
  </si>
  <si>
    <t>FTE:</t>
  </si>
  <si>
    <t>Days:</t>
  </si>
  <si>
    <t>*Text will be black if balanced</t>
  </si>
  <si>
    <t xml:space="preserve">Revision Status: </t>
  </si>
  <si>
    <t xml:space="preserve">The calendars must be followed as outlined. If a calendared day is missed, the appropriate accrued leave must be entered for that day.  </t>
  </si>
  <si>
    <t>Calendar:</t>
  </si>
  <si>
    <r>
      <t>Parent-Teacher Conference Dates</t>
    </r>
    <r>
      <rPr>
        <sz val="12"/>
        <color theme="1"/>
        <rFont val="Calibri"/>
        <family val="2"/>
        <scheme val="minor"/>
      </rPr>
      <t xml:space="preserve"> </t>
    </r>
    <r>
      <rPr>
        <i/>
        <sz val="10"/>
        <color theme="1"/>
        <rFont val="Calibri"/>
        <family val="2"/>
        <scheme val="minor"/>
      </rPr>
      <t>(Highlighted in orange on calendar)</t>
    </r>
  </si>
  <si>
    <t>Individual School Worksheets</t>
  </si>
  <si>
    <t>Total FTE</t>
  </si>
  <si>
    <t>Skyward Days</t>
  </si>
  <si>
    <t>To be Entered</t>
  </si>
  <si>
    <t>Total Hours</t>
  </si>
  <si>
    <t>School Year</t>
  </si>
  <si>
    <t>2019-2020</t>
  </si>
  <si>
    <t>2020-2021</t>
  </si>
  <si>
    <t>2021-2022</t>
  </si>
  <si>
    <t>2022-2023</t>
  </si>
  <si>
    <t>2023-2024</t>
  </si>
  <si>
    <t>2024-2025</t>
  </si>
  <si>
    <t>2025-2026</t>
  </si>
  <si>
    <t>2026-2027</t>
  </si>
  <si>
    <t>2027-2028</t>
  </si>
  <si>
    <t>2028-2029</t>
  </si>
  <si>
    <t>2029-2030</t>
  </si>
  <si>
    <t>School Year:</t>
  </si>
  <si>
    <t>Offsets</t>
  </si>
  <si>
    <t>JUNE</t>
  </si>
  <si>
    <t>June</t>
  </si>
  <si>
    <t>2030-2031</t>
  </si>
  <si>
    <t>First Year</t>
  </si>
  <si>
    <t>Last Year</t>
  </si>
  <si>
    <t>Begins</t>
  </si>
  <si>
    <t>Ends</t>
  </si>
  <si>
    <t>ACCOUNTABILITY &amp; PROGRAM SERV</t>
  </si>
  <si>
    <t>District</t>
  </si>
  <si>
    <t>SPECIAL EDUCATION</t>
  </si>
  <si>
    <t>ALTERNATIVE LANGUAGE SERVICES</t>
  </si>
  <si>
    <t>AT RISK STUDENTS/STUDENT INTER</t>
  </si>
  <si>
    <t>PLANNING &amp; STUDENT SERVICES</t>
  </si>
  <si>
    <t>GUIDANCE</t>
  </si>
  <si>
    <t>CAREER &amp; TECHNICAL EDUCATION</t>
  </si>
  <si>
    <t>INSTRUCTIONAL SUPPORT SERVICES</t>
  </si>
  <si>
    <t>BLUFFDALE ELEMENTARY</t>
  </si>
  <si>
    <t>Elementary</t>
  </si>
  <si>
    <t>COLUMBIA ELEMENTARY</t>
  </si>
  <si>
    <t>OAKCREST ELEMENTARY</t>
  </si>
  <si>
    <t>DAYBREAK ELEMENTARY</t>
  </si>
  <si>
    <t>SILVER CREST ELEMENTARY</t>
  </si>
  <si>
    <t>EASTLAKE ELEMENTARY</t>
  </si>
  <si>
    <t>MIDAS CREEK ELEMENTARY</t>
  </si>
  <si>
    <t>FOX HOLLOW ELEMENTARY</t>
  </si>
  <si>
    <t>ELK MEADOWS ELEMENTARY</t>
  </si>
  <si>
    <t>BLACKRIDGE ELEMENTARY</t>
  </si>
  <si>
    <t>FALCON RIDGE ELEMENTARY</t>
  </si>
  <si>
    <t>HAYDEN PEAK ELEMENTARY</t>
  </si>
  <si>
    <t>HEARTLAND ELEMENTARY</t>
  </si>
  <si>
    <t>JORDAN RIDGE ELEMENTARY</t>
  </si>
  <si>
    <t>JORDAN HILLS ELEMENTARY</t>
  </si>
  <si>
    <t>HERRIMAN ELEMENTARY</t>
  </si>
  <si>
    <t>MAJESTIC ELEMENTARY</t>
  </si>
  <si>
    <t>GOLDEN FIELDS ELEMENTARY</t>
  </si>
  <si>
    <t>MOUNTAIN SHADOWS ELEMENTARY</t>
  </si>
  <si>
    <t>MONTE VISTA ELEMENTARY</t>
  </si>
  <si>
    <t>OQUIRRH ELEMENTARY</t>
  </si>
  <si>
    <t>RIVERTON ELEMENTARY</t>
  </si>
  <si>
    <t>RIVERSIDE ELEMENTARY</t>
  </si>
  <si>
    <t>ROSAMOND ELEMENTARY</t>
  </si>
  <si>
    <t>SOUTH JORDAN ELEMENTARY</t>
  </si>
  <si>
    <t>SOUTHLAND ELEMENTARY</t>
  </si>
  <si>
    <t>TERRA LINDA ELEMENTARY</t>
  </si>
  <si>
    <t>ROSE CREEK ELEMENTARY</t>
  </si>
  <si>
    <t>WELBY ELEMENTARY</t>
  </si>
  <si>
    <t>WESTVALE ELEMENTARY</t>
  </si>
  <si>
    <t>WESTLAND ELEMENTARY</t>
  </si>
  <si>
    <t>BASTIAN ELEMENTARY</t>
  </si>
  <si>
    <t>COPPER CANYON ELEMENTARY</t>
  </si>
  <si>
    <t>FOOTHILLS ELEMENTARY</t>
  </si>
  <si>
    <t>BUTTERFIELD CANYON ELEMENTARY</t>
  </si>
  <si>
    <t>JOEL P JENSEN MIDDLE</t>
  </si>
  <si>
    <t>Middle</t>
  </si>
  <si>
    <t>OQUIRRH HILLS MIDDLE</t>
  </si>
  <si>
    <t>SOUTH JORDAN MIDDLE</t>
  </si>
  <si>
    <t>WEST JORDAN MIDDLE</t>
  </si>
  <si>
    <t>ELK RIDGE MIDDLE</t>
  </si>
  <si>
    <t>WEST HILLS MIDDLE</t>
  </si>
  <si>
    <t>SOUTH HILLS MIDDLE</t>
  </si>
  <si>
    <t>SUNSET RIDGE MIDDLE</t>
  </si>
  <si>
    <t>FORT HERRIMAN MIDDLE</t>
  </si>
  <si>
    <t>COPPER MOUNTAIN MIDDLE</t>
  </si>
  <si>
    <t>COPPER HILLS HIGH</t>
  </si>
  <si>
    <t>High</t>
  </si>
  <si>
    <t>BINGHAM HIGH</t>
  </si>
  <si>
    <t>HERRIMAN HIGH</t>
  </si>
  <si>
    <t>RIVERTON HIGH</t>
  </si>
  <si>
    <t>VALLEY HIGH</t>
  </si>
  <si>
    <t>Alternative</t>
  </si>
  <si>
    <t>WEST JORDAN HIGH</t>
  </si>
  <si>
    <t>JATC NORTH</t>
  </si>
  <si>
    <t>JATC SOUTH</t>
  </si>
  <si>
    <t>PRESCHOOL/CHILD DEVELOPMNT CTR</t>
  </si>
  <si>
    <t>SOUTH VALLEY</t>
  </si>
  <si>
    <t>RIVER'S EDGE</t>
  </si>
  <si>
    <t>KAURI SUE HAMILTON</t>
  </si>
  <si>
    <t>SOUTH POINTE HIGH</t>
  </si>
  <si>
    <t>MOUNTAIN RIDGE HIGH</t>
  </si>
  <si>
    <t>Non Contract</t>
  </si>
  <si>
    <t>(0.5)</t>
  </si>
  <si>
    <t>Elem:</t>
  </si>
  <si>
    <t>Teacher 1</t>
  </si>
  <si>
    <t>Teacher 2</t>
  </si>
  <si>
    <t>Instructions for Completing the Job Share Calendar</t>
  </si>
  <si>
    <t>School:</t>
  </si>
  <si>
    <t>Job Share with:</t>
  </si>
  <si>
    <t xml:space="preserve">FTE: </t>
  </si>
  <si>
    <t>Required Days for Teacher A:</t>
  </si>
  <si>
    <t>*Enter total hours of day you want to take off and hit enter.</t>
  </si>
  <si>
    <t>3)</t>
  </si>
  <si>
    <t>4)</t>
  </si>
  <si>
    <t>0.5 (Timesheet)</t>
  </si>
  <si>
    <t>Employee</t>
  </si>
  <si>
    <t>Principal</t>
  </si>
  <si>
    <t xml:space="preserve">School: </t>
  </si>
  <si>
    <t>Teacher A:</t>
  </si>
  <si>
    <t xml:space="preserve">Teacher B: </t>
  </si>
  <si>
    <t>Day Not Filled</t>
  </si>
  <si>
    <t>Both</t>
  </si>
  <si>
    <t>Day Of Week</t>
  </si>
  <si>
    <t>Holiday</t>
  </si>
  <si>
    <t>PTC</t>
  </si>
  <si>
    <t>Error</t>
  </si>
  <si>
    <t>Duplicated dates</t>
  </si>
  <si>
    <r>
      <t xml:space="preserve">Each contract day on the Combined calendar must be marked with a Teacher Name or "Both". The teachers will complete each individual calendar worksheet by selecting the date they are working and entering the total hours they are working that day up to 8 hours.  If the teacher will not be working that day, it should be left empty.  </t>
    </r>
    <r>
      <rPr>
        <b/>
        <sz val="12"/>
        <color theme="1"/>
        <rFont val="Calibri"/>
        <family val="2"/>
        <scheme val="minor"/>
      </rPr>
      <t xml:space="preserve">The combined teacher hours for each day cannot equal more than 8 hours between both teachers.  </t>
    </r>
  </si>
  <si>
    <r>
      <t xml:space="preserve">Up to four Parent-Teacher Conference days are included in the contract day total.  Each teacher must choose </t>
    </r>
    <r>
      <rPr>
        <b/>
        <sz val="12"/>
        <color theme="1"/>
        <rFont val="Calibri"/>
        <family val="2"/>
        <scheme val="minor"/>
      </rPr>
      <t>2</t>
    </r>
    <r>
      <rPr>
        <sz val="12"/>
        <color theme="1"/>
        <rFont val="Calibri"/>
        <family val="2"/>
        <scheme val="minor"/>
      </rPr>
      <t xml:space="preserve"> dates.  The dates must be listed in the appropriate section at the bottom of their calendar. If both teachers are attending all 4 Parent-Teacher Conference days, the 2 additional dates must be approved and paid for by the Principal and submitted on a time sheet.  </t>
    </r>
    <r>
      <rPr>
        <i/>
        <sz val="12"/>
        <color theme="1"/>
        <rFont val="Calibri"/>
        <family val="2"/>
        <scheme val="minor"/>
      </rPr>
      <t>Note to Principal:  May not be paid from budget 0050.</t>
    </r>
  </si>
  <si>
    <t>Contract Date that has not been filled</t>
  </si>
  <si>
    <t>Combined hours for both teachers&gt; 8 hours</t>
  </si>
  <si>
    <t>Both teachers working half days</t>
  </si>
  <si>
    <t>Notes:</t>
  </si>
  <si>
    <t>Leave Day Equivalent</t>
  </si>
  <si>
    <r>
      <t xml:space="preserve">HR will need printed copies of ALL 3 worksheets with employee and principal signatures on both Teacher A and Teacher B's worksheet.  </t>
    </r>
    <r>
      <rPr>
        <b/>
        <sz val="12"/>
        <color rgb="FFFF0000"/>
        <rFont val="Calibri"/>
        <family val="2"/>
        <scheme val="minor"/>
      </rPr>
      <t>HR WILL NOT ACCEPT HANDWRITTEN CALENDARS OR CHANGES.  ALL CALENDARS MUST BE FILLED OUT ELECTRONICALLY FOR ACCURATE CALENDAR TOTALS!!</t>
    </r>
    <r>
      <rPr>
        <sz val="12"/>
        <color theme="1"/>
        <rFont val="Calibri"/>
        <family val="2"/>
        <scheme val="minor"/>
      </rPr>
      <t xml:space="preserve"> School locations and employee can keep other digital copies for reference and use for leave day equivalency help. </t>
    </r>
  </si>
  <si>
    <t>RIDGE VIEW ELEMENTARY</t>
  </si>
  <si>
    <t>MOUNTAIN POINT ELEMENTARY</t>
  </si>
  <si>
    <t>HIDDEN VALLEY MIDDLE</t>
  </si>
  <si>
    <t>MOUNTAIN CREEK MIDDLE</t>
  </si>
  <si>
    <t>CTE 207 Day</t>
  </si>
  <si>
    <t>207 Teacher</t>
  </si>
  <si>
    <t>Elem 187</t>
  </si>
  <si>
    <t>Sec 187</t>
  </si>
  <si>
    <t>Flex 187</t>
  </si>
  <si>
    <t>A</t>
  </si>
  <si>
    <t>B</t>
  </si>
  <si>
    <t>ACT</t>
  </si>
  <si>
    <t>ANTELOPE CANYON ELEMENTARY</t>
  </si>
  <si>
    <t>ACCOUNTING/BUDGETS/AUDITS</t>
  </si>
  <si>
    <t>ACCOUNTS PAYABLE</t>
  </si>
  <si>
    <t>AUXILIARY SERVICES BLDG</t>
  </si>
  <si>
    <t>BUSINESS ADMIN SERVICES</t>
  </si>
  <si>
    <t>CENTRAL WAREHOUSE</t>
  </si>
  <si>
    <t>COMMUNICATIONS</t>
  </si>
  <si>
    <t>COMPLIANCE  &amp; SPECIAL PROGRAMS</t>
  </si>
  <si>
    <t>CUSTODIAL SERVICES</t>
  </si>
  <si>
    <t>CUSTODIAL-DISTRICT OFFICE</t>
  </si>
  <si>
    <t>DEPUTY SUPERINTENDENT INSTRUCT</t>
  </si>
  <si>
    <t>ENERGY ADVISOR</t>
  </si>
  <si>
    <t>FACILITY SERVICES</t>
  </si>
  <si>
    <t>FIXED ASSETS</t>
  </si>
  <si>
    <t>HEALTH &amp; WELLNESS</t>
  </si>
  <si>
    <t>HUMAN RESOURCES</t>
  </si>
  <si>
    <t>INFORMATION SYSTEMS</t>
  </si>
  <si>
    <t>INSURANCE DEPARTMENT</t>
  </si>
  <si>
    <t>JORDAN ALARM RESPONSE</t>
  </si>
  <si>
    <t>JORDAN EDUCATION FOUNDATION</t>
  </si>
  <si>
    <t>NEW CONSTRUCTION</t>
  </si>
  <si>
    <t>NUTRITION SERVICES</t>
  </si>
  <si>
    <t>PAYROLL</t>
  </si>
  <si>
    <t>PURCHASING</t>
  </si>
  <si>
    <t>TEACHING AND LEARNING</t>
  </si>
  <si>
    <t>TRANSPORTATION SERVICES</t>
  </si>
  <si>
    <t>Tech</t>
  </si>
  <si>
    <t>Special</t>
  </si>
  <si>
    <t>Due Date</t>
  </si>
  <si>
    <t>Days Remaining</t>
  </si>
  <si>
    <t>Bldg
Code</t>
  </si>
  <si>
    <t>Short Description</t>
  </si>
  <si>
    <t>Long Description</t>
  </si>
  <si>
    <t>Level</t>
  </si>
  <si>
    <t>040</t>
  </si>
  <si>
    <t>ACCOUNTABILITY</t>
  </si>
  <si>
    <t>S</t>
  </si>
  <si>
    <t>083</t>
  </si>
  <si>
    <t>ACCT/BUDG/AUDIT</t>
  </si>
  <si>
    <t>091</t>
  </si>
  <si>
    <t>ACCTS PAYABLE</t>
  </si>
  <si>
    <t>072</t>
  </si>
  <si>
    <t>ALARM RESPONSE</t>
  </si>
  <si>
    <t>050</t>
  </si>
  <si>
    <t>ALT LANGUAGE</t>
  </si>
  <si>
    <t>R</t>
  </si>
  <si>
    <t>137</t>
  </si>
  <si>
    <t>ANTELOPE CANYON</t>
  </si>
  <si>
    <t>052</t>
  </si>
  <si>
    <t>AT RISK STUDENT</t>
  </si>
  <si>
    <t>098</t>
  </si>
  <si>
    <t>AUX SERV OFFICE</t>
  </si>
  <si>
    <t>AUX SERV OFFICES BLDGS 1,2,3</t>
  </si>
  <si>
    <t>043</t>
  </si>
  <si>
    <t>AUX SERVICES</t>
  </si>
  <si>
    <t>173</t>
  </si>
  <si>
    <t>BASTIAN ELEM</t>
  </si>
  <si>
    <t>704</t>
  </si>
  <si>
    <t>127</t>
  </si>
  <si>
    <t>BLACKRIDGE ELEM</t>
  </si>
  <si>
    <t>109</t>
  </si>
  <si>
    <t>BLUFFDALE ELEM</t>
  </si>
  <si>
    <t>081</t>
  </si>
  <si>
    <t>BUSINESS ADMIN</t>
  </si>
  <si>
    <t>177</t>
  </si>
  <si>
    <t>BUTTERFLD ELEM</t>
  </si>
  <si>
    <t>057</t>
  </si>
  <si>
    <t>CAREER/TECH ED</t>
  </si>
  <si>
    <t>079</t>
  </si>
  <si>
    <t>CENTRAL WHSE</t>
  </si>
  <si>
    <t>111</t>
  </si>
  <si>
    <t>COLUMBIA ELEM</t>
  </si>
  <si>
    <t>051</t>
  </si>
  <si>
    <t>048</t>
  </si>
  <si>
    <t>COMPLIANCE</t>
  </si>
  <si>
    <t>175</t>
  </si>
  <si>
    <t>COPPER CANYON</t>
  </si>
  <si>
    <t>703</t>
  </si>
  <si>
    <t>COPPER HILLS HS</t>
  </si>
  <si>
    <t>419</t>
  </si>
  <si>
    <t>COPPER MOUNTAIN</t>
  </si>
  <si>
    <t>075</t>
  </si>
  <si>
    <t>CUSTODIAL SERV</t>
  </si>
  <si>
    <t>099</t>
  </si>
  <si>
    <t>CUSTODIAL-DO</t>
  </si>
  <si>
    <t>115</t>
  </si>
  <si>
    <t>DAYBREAK ELEM</t>
  </si>
  <si>
    <t>041</t>
  </si>
  <si>
    <t>DEP SUPT INST S</t>
  </si>
  <si>
    <t>118</t>
  </si>
  <si>
    <t>EASTLAKE ELEM</t>
  </si>
  <si>
    <t>059</t>
  </si>
  <si>
    <t>126</t>
  </si>
  <si>
    <t>ELK MEADOWS</t>
  </si>
  <si>
    <t>413</t>
  </si>
  <si>
    <t>ELK RIDGE MS</t>
  </si>
  <si>
    <t>071</t>
  </si>
  <si>
    <t>078</t>
  </si>
  <si>
    <t>FACILITY SERV</t>
  </si>
  <si>
    <t>128</t>
  </si>
  <si>
    <t>FALCON RIDGE</t>
  </si>
  <si>
    <t>095</t>
  </si>
  <si>
    <t>176</t>
  </si>
  <si>
    <t>FOOTHILLS ELEM</t>
  </si>
  <si>
    <t>121</t>
  </si>
  <si>
    <t>FOX HOLLOW ELEM</t>
  </si>
  <si>
    <t>417</t>
  </si>
  <si>
    <t>FT HERRIMAN MS</t>
  </si>
  <si>
    <t>139</t>
  </si>
  <si>
    <t>GOLDEN FIELDS</t>
  </si>
  <si>
    <t>054</t>
  </si>
  <si>
    <t>131</t>
  </si>
  <si>
    <t>HAYDEN PEAK</t>
  </si>
  <si>
    <t>056</t>
  </si>
  <si>
    <t>HEALTH&amp;WELLNESS</t>
  </si>
  <si>
    <t>132</t>
  </si>
  <si>
    <t>HEARTLAND ELEM</t>
  </si>
  <si>
    <t>136</t>
  </si>
  <si>
    <t>HERRIMAN ELEM</t>
  </si>
  <si>
    <t>707</t>
  </si>
  <si>
    <t>421</t>
  </si>
  <si>
    <t>HIDDEN VALLEY</t>
  </si>
  <si>
    <t>045</t>
  </si>
  <si>
    <t>080</t>
  </si>
  <si>
    <t>INFORMATION SYS</t>
  </si>
  <si>
    <t>073</t>
  </si>
  <si>
    <t>INSTR SUPPORT</t>
  </si>
  <si>
    <t>046</t>
  </si>
  <si>
    <t>INSURANCE DEPT</t>
  </si>
  <si>
    <t>741</t>
  </si>
  <si>
    <t>744</t>
  </si>
  <si>
    <t>406</t>
  </si>
  <si>
    <t>JOEL P JENSEN</t>
  </si>
  <si>
    <t>055</t>
  </si>
  <si>
    <t>JORDAN EDUC FND</t>
  </si>
  <si>
    <t>134</t>
  </si>
  <si>
    <t>JORDAN HILLS</t>
  </si>
  <si>
    <t>133</t>
  </si>
  <si>
    <t>JORDAN RIDGE</t>
  </si>
  <si>
    <t>830</t>
  </si>
  <si>
    <t>KAURI SUE</t>
  </si>
  <si>
    <t>138</t>
  </si>
  <si>
    <t>MAJESTIC ELEM</t>
  </si>
  <si>
    <t>119</t>
  </si>
  <si>
    <t>MIDAS CREEK</t>
  </si>
  <si>
    <t>146</t>
  </si>
  <si>
    <t>MONTE VISTA</t>
  </si>
  <si>
    <t>422</t>
  </si>
  <si>
    <t>MOUNTAIN CREEK</t>
  </si>
  <si>
    <t>129</t>
  </si>
  <si>
    <t>MOUNTAIN POINT</t>
  </si>
  <si>
    <t>715</t>
  </si>
  <si>
    <t>MOUNTAIN RIDGE</t>
  </si>
  <si>
    <t>145</t>
  </si>
  <si>
    <t>MTN SHADOWS</t>
  </si>
  <si>
    <t>076</t>
  </si>
  <si>
    <t>NEW CONSTRUCTN</t>
  </si>
  <si>
    <t>074</t>
  </si>
  <si>
    <t>NUTRITION SERV</t>
  </si>
  <si>
    <t>114</t>
  </si>
  <si>
    <t>OAKCREST ELEM</t>
  </si>
  <si>
    <t>147</t>
  </si>
  <si>
    <t>OQUIRRH ELEM</t>
  </si>
  <si>
    <t>409</t>
  </si>
  <si>
    <t>OQUIRRH HILLS</t>
  </si>
  <si>
    <t>089</t>
  </si>
  <si>
    <t>053</t>
  </si>
  <si>
    <t>PLAN &amp; STUDENT</t>
  </si>
  <si>
    <t>800</t>
  </si>
  <si>
    <t>PRESCHL/CDC</t>
  </si>
  <si>
    <t>087</t>
  </si>
  <si>
    <t>125</t>
  </si>
  <si>
    <t>RIDGE VIEW ELEM</t>
  </si>
  <si>
    <t>820</t>
  </si>
  <si>
    <t>153</t>
  </si>
  <si>
    <t>RIVERSIDE ELEM</t>
  </si>
  <si>
    <t>152</t>
  </si>
  <si>
    <t>RIVERTON ELEM</t>
  </si>
  <si>
    <t>710</t>
  </si>
  <si>
    <t>157</t>
  </si>
  <si>
    <t>ROSAMOND ELEM</t>
  </si>
  <si>
    <t>163</t>
  </si>
  <si>
    <t>ROSE CREEK ELEM</t>
  </si>
  <si>
    <t>117</t>
  </si>
  <si>
    <t>SILVER CREST</t>
  </si>
  <si>
    <t>160</t>
  </si>
  <si>
    <t>SO JORDAN ELEM</t>
  </si>
  <si>
    <t>415</t>
  </si>
  <si>
    <t>SOUTH HILLS MS</t>
  </si>
  <si>
    <t>411</t>
  </si>
  <si>
    <t>SOUTH JORDAN MS</t>
  </si>
  <si>
    <t>981</t>
  </si>
  <si>
    <t>SOUTH POINTE HI</t>
  </si>
  <si>
    <t>802</t>
  </si>
  <si>
    <t>161</t>
  </si>
  <si>
    <t>SOUTHLAND ELEM</t>
  </si>
  <si>
    <t>047</t>
  </si>
  <si>
    <t>SPECIAL ED</t>
  </si>
  <si>
    <t>416</t>
  </si>
  <si>
    <t>SUNSET RIDGE MS</t>
  </si>
  <si>
    <t>049</t>
  </si>
  <si>
    <t>TEACH AND LEARN</t>
  </si>
  <si>
    <t>162</t>
  </si>
  <si>
    <t>TERRA LINDA</t>
  </si>
  <si>
    <t>077</t>
  </si>
  <si>
    <t>TRANSPORTATION</t>
  </si>
  <si>
    <t>716</t>
  </si>
  <si>
    <t>167</t>
  </si>
  <si>
    <t>WELBY ELEM</t>
  </si>
  <si>
    <t>414</t>
  </si>
  <si>
    <t>WEST HILLS MS</t>
  </si>
  <si>
    <t>718</t>
  </si>
  <si>
    <t>WEST JORDAN HS</t>
  </si>
  <si>
    <t>412</t>
  </si>
  <si>
    <t>WEST JORDAN MS</t>
  </si>
  <si>
    <t>170</t>
  </si>
  <si>
    <t>WESTLAND ELEM</t>
  </si>
  <si>
    <t>169</t>
  </si>
  <si>
    <t>WESTVALE ELEM</t>
  </si>
  <si>
    <t>Flex PD (GTD please use this date to document flex PD)</t>
  </si>
  <si>
    <t>Health and Wellness Day</t>
  </si>
  <si>
    <t>OAK LEAF ELEM</t>
  </si>
  <si>
    <t>OAK LEAF ELEMENTARY</t>
  </si>
  <si>
    <r>
      <t xml:space="preserve">PLEASE do </t>
    </r>
    <r>
      <rPr>
        <b/>
        <u/>
        <sz val="14"/>
        <color rgb="FFFF0000"/>
        <rFont val="Calibri"/>
        <family val="2"/>
        <scheme val="minor"/>
      </rPr>
      <t>NOT</t>
    </r>
    <r>
      <rPr>
        <sz val="14"/>
        <color rgb="FFFF0000"/>
        <rFont val="Calibri"/>
        <family val="2"/>
        <scheme val="minor"/>
      </rPr>
      <t xml:space="preserve"> use Google Sheets to complete this calendar.  The formulas will not work correctly!  You must download file and open in Excel.</t>
    </r>
  </si>
  <si>
    <r>
      <t xml:space="preserve">Calendars may only be changed </t>
    </r>
    <r>
      <rPr>
        <b/>
        <sz val="12"/>
        <color theme="1"/>
        <rFont val="Calibri"/>
        <family val="2"/>
        <scheme val="minor"/>
      </rPr>
      <t>twice</t>
    </r>
    <r>
      <rPr>
        <sz val="12"/>
        <color theme="1"/>
        <rFont val="Calibri"/>
        <family val="2"/>
        <scheme val="minor"/>
      </rPr>
      <t xml:space="preserve"> per contract year. Revisions must be preapproved and signed by the principal and a new calendar for both teachers submitted to HR, as soon as possible.</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</si>
  <si>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2"/>
        <color theme="1"/>
        <rFont val="Calibri"/>
        <family val="2"/>
        <scheme val="minor"/>
      </rPr>
      <t xml:space="preserve"> </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</si>
  <si>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1"/>
        <color theme="1"/>
        <rFont val="Calibri"/>
        <family val="2"/>
        <scheme val="minor"/>
      </rPr>
      <t xml:space="preserve"> </t>
    </r>
  </si>
  <si>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</si>
  <si>
    <t>Original, completed calendar must be signed by the Employee and the Administrator and submitted to Human Resources by May 5,2023.  Must be completed electronically.  Handwritten changes will not be accepted by Human Resources.</t>
  </si>
  <si>
    <t>Original, completed calendar must be signed by the Employee and the Administrator and submitted to Human Resources by May 5, 2023.  Must be completed electronically.  Handwritten changes will not be accepted by Human Resources.</t>
  </si>
  <si>
    <t>026</t>
  </si>
  <si>
    <t>AOS ELEM 026</t>
  </si>
  <si>
    <t>ADMIN OF SCHOOLS ELEM 026</t>
  </si>
  <si>
    <t>027</t>
  </si>
  <si>
    <t>AOS ELEM 027</t>
  </si>
  <si>
    <t>ADMIN OF SCHOOLS ELEM 027</t>
  </si>
  <si>
    <t>028</t>
  </si>
  <si>
    <t>AOS ELEM 028</t>
  </si>
  <si>
    <t>ADMIN OF SCHOOLS ELEM 028</t>
  </si>
  <si>
    <t>029</t>
  </si>
  <si>
    <t>AOS ELEM 029</t>
  </si>
  <si>
    <t>ADMIN OF SCHOOLS ELEM 029</t>
  </si>
  <si>
    <t>024</t>
  </si>
  <si>
    <t>AOS HIGH 024</t>
  </si>
  <si>
    <t>ADMIN OF SCHOOLS HIGH 024</t>
  </si>
  <si>
    <t>022</t>
  </si>
  <si>
    <t>AOS MIDDLE 022</t>
  </si>
  <si>
    <t>ADMIN OF SCHOOLS MIDDLE 022</t>
  </si>
  <si>
    <t>179</t>
  </si>
  <si>
    <t>ASPEN ELEM</t>
  </si>
  <si>
    <t>ASPEN ELEMENTARY</t>
  </si>
  <si>
    <t>EDUC LANGUAGE</t>
  </si>
  <si>
    <t>EDUCATIONAL LANGUAGE SERVICES</t>
  </si>
  <si>
    <t>490</t>
  </si>
  <si>
    <t>KELSEY PEAK MS</t>
  </si>
  <si>
    <t>KELSEY PEAK MIDDLE</t>
  </si>
  <si>
    <t>790</t>
  </si>
  <si>
    <t>KINGS PEAK HIGH</t>
  </si>
  <si>
    <t>190</t>
  </si>
  <si>
    <t>ROCKY PEAK EL</t>
  </si>
  <si>
    <t>ROCKY PEAK ELEMENTARY</t>
  </si>
  <si>
    <t>014</t>
  </si>
  <si>
    <t>SUPERINTENDENT</t>
  </si>
  <si>
    <t>SUPERINTENDENT'S OFFICE</t>
  </si>
  <si>
    <t>Secondary:</t>
  </si>
  <si>
    <r>
      <t xml:space="preserve">There is a </t>
    </r>
    <r>
      <rPr>
        <b/>
        <sz val="12"/>
        <color rgb="FFFF0000"/>
        <rFont val="Calibri"/>
        <family val="2"/>
        <scheme val="minor"/>
      </rPr>
      <t>mandatory</t>
    </r>
    <r>
      <rPr>
        <sz val="12"/>
        <color theme="1"/>
        <rFont val="Calibri"/>
        <family val="2"/>
        <scheme val="minor"/>
      </rPr>
      <t xml:space="preserve"> Professional Development day on </t>
    </r>
    <r>
      <rPr>
        <b/>
        <sz val="12"/>
        <color rgb="FFFF0000"/>
        <rFont val="Calibri"/>
        <family val="2"/>
        <scheme val="minor"/>
      </rPr>
      <t>November 8, 2024 and March 14, 2025</t>
    </r>
    <r>
      <rPr>
        <sz val="12"/>
        <color theme="1"/>
        <rFont val="Calibri"/>
        <family val="2"/>
        <scheme val="minor"/>
      </rPr>
      <t xml:space="preserve">.  This day (according to your school locations) </t>
    </r>
    <r>
      <rPr>
        <b/>
        <sz val="12"/>
        <color rgb="FFFF0000"/>
        <rFont val="Calibri"/>
        <family val="2"/>
        <scheme val="minor"/>
      </rPr>
      <t>must</t>
    </r>
    <r>
      <rPr>
        <sz val="12"/>
        <color theme="1"/>
        <rFont val="Calibri"/>
        <family val="2"/>
        <scheme val="minor"/>
      </rPr>
      <t xml:space="preserve"> be marked as a </t>
    </r>
    <r>
      <rPr>
        <b/>
        <sz val="12"/>
        <color theme="1"/>
        <rFont val="Calibri"/>
        <family val="2"/>
        <scheme val="minor"/>
      </rPr>
      <t>4 hour</t>
    </r>
    <r>
      <rPr>
        <sz val="12"/>
        <color theme="1"/>
        <rFont val="Calibri"/>
        <family val="2"/>
        <scheme val="minor"/>
      </rPr>
      <t xml:space="preserve"> day for </t>
    </r>
    <r>
      <rPr>
        <b/>
        <sz val="12"/>
        <color theme="1"/>
        <rFont val="Calibri"/>
        <family val="2"/>
        <scheme val="minor"/>
      </rPr>
      <t>both</t>
    </r>
    <r>
      <rPr>
        <sz val="12"/>
        <color theme="1"/>
        <rFont val="Calibri"/>
        <family val="2"/>
        <scheme val="minor"/>
      </rPr>
      <t xml:space="preserve"> teachers.</t>
    </r>
  </si>
  <si>
    <r>
      <t xml:space="preserve">There is a Virtual Health and Wellness day on </t>
    </r>
    <r>
      <rPr>
        <b/>
        <sz val="12"/>
        <color rgb="FF00B050"/>
        <rFont val="Calibri"/>
        <family val="2"/>
        <scheme val="minor"/>
      </rPr>
      <t>February 7, 2025</t>
    </r>
    <r>
      <rPr>
        <sz val="12"/>
        <color theme="1"/>
        <rFont val="Calibri"/>
        <family val="2"/>
        <scheme val="minor"/>
      </rPr>
      <t xml:space="preserve">.  This day (according to your school locations) </t>
    </r>
    <r>
      <rPr>
        <b/>
        <sz val="12"/>
        <color theme="1"/>
        <rFont val="Calibri"/>
        <family val="2"/>
        <scheme val="minor"/>
      </rPr>
      <t>must</t>
    </r>
    <r>
      <rPr>
        <sz val="12"/>
        <color theme="1"/>
        <rFont val="Calibri"/>
        <family val="2"/>
        <scheme val="minor"/>
      </rPr>
      <t xml:space="preserve"> be marked as a </t>
    </r>
    <r>
      <rPr>
        <b/>
        <sz val="12"/>
        <color theme="1"/>
        <rFont val="Calibri"/>
        <family val="2"/>
        <scheme val="minor"/>
      </rPr>
      <t>4 hour</t>
    </r>
    <r>
      <rPr>
        <sz val="12"/>
        <color theme="1"/>
        <rFont val="Calibri"/>
        <family val="2"/>
        <scheme val="minor"/>
      </rPr>
      <t xml:space="preserve"> day for </t>
    </r>
    <r>
      <rPr>
        <b/>
        <sz val="12"/>
        <color theme="1"/>
        <rFont val="Calibri"/>
        <family val="2"/>
        <scheme val="minor"/>
      </rPr>
      <t>both</t>
    </r>
    <r>
      <rPr>
        <sz val="12"/>
        <color theme="1"/>
        <rFont val="Calibri"/>
        <family val="2"/>
        <scheme val="minor"/>
      </rPr>
      <t xml:space="preserve"> teachers.</t>
    </r>
  </si>
  <si>
    <t>10/2/2024-10/3/2024</t>
  </si>
  <si>
    <t>2/19/2025-2/20/2025</t>
  </si>
  <si>
    <t>9/25/2024-9/26/2024</t>
  </si>
  <si>
    <t>2/12/2025-2/13/2025</t>
  </si>
  <si>
    <t>189</t>
  </si>
  <si>
    <t>JUNIPER ELEM</t>
  </si>
  <si>
    <t>JUNIPER ELEMEMTARY</t>
  </si>
  <si>
    <t>LANG&amp;CULT SERV</t>
  </si>
  <si>
    <t>LANGUAGE AND CULTURE SERVICES</t>
  </si>
  <si>
    <t>141</t>
  </si>
  <si>
    <t>Comp</t>
  </si>
  <si>
    <t>GTD</t>
  </si>
  <si>
    <t>PD</t>
  </si>
  <si>
    <t>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</si>
</sst>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d"/>
    <numFmt numFmtId="166" formatCode="ddd"/>
    <numFmt numFmtId="167" formatCode="[$-F800]dddd\,\ mmmm\ dd\,\ yyyy"/>
  </numFmts>
  <fonts count="58" x14ac:knownFonts="1">
    <font>
      <sz val="11"/>
      <color theme="1"/>
      <name val="Calibri"/>
      <family val="2"/>
      <scheme val="minor"/>
    </font>
    <font>
      <b/>
      <sz val="11"/>
      <color theme="0"/>
      <name val="Calibri"/>
      <family val="2"/>
      <scheme val="minor"/>
    </font>
    <font>
      <b/>
      <u/>
      <sz val="14"/>
      <name val="Segoe UI"/>
      <family val="2"/>
    </font>
    <font>
      <b/>
      <sz val="12"/>
      <name val="Calibri"/>
      <family val="2"/>
      <scheme val="minor"/>
    </font>
    <font>
      <b/>
      <sz val="10"/>
      <name val="Calibri"/>
      <family val="2"/>
      <scheme val="minor"/>
    </font>
    <font>
      <b/>
      <sz val="14"/>
      <name val="Calibri"/>
      <family val="2"/>
      <scheme val="minor"/>
    </font>
    <font>
      <b/>
      <sz val="11"/>
      <name val="Calibri"/>
      <family val="2"/>
      <scheme val="minor"/>
    </font>
    <font>
      <u/>
      <sz val="10"/>
      <name val="Arial"/>
      <family val="2"/>
    </font>
    <font>
      <sz val="8"/>
      <name val="Calibri"/>
      <family val="2"/>
      <scheme val="minor"/>
    </font>
    <font>
      <b/>
      <sz val="12"/>
      <color theme="1"/>
      <name val="Calibri"/>
      <family val="2"/>
      <scheme val="minor"/>
    </font>
    <font>
      <b/>
      <sz val="9"/>
      <name val="Calibri"/>
      <family val="2"/>
      <scheme val="minor"/>
    </font>
    <font>
      <sz val="10"/>
      <color theme="1"/>
      <name val="Calibri"/>
      <family val="2"/>
      <scheme val="minor"/>
    </font>
    <font>
      <b/>
      <sz val="10"/>
      <name val="Arial"/>
      <family val="2"/>
    </font>
    <font>
      <sz val="6"/>
      <name val="Arial"/>
      <family val="2"/>
    </font>
    <font>
      <sz val="11"/>
      <name val="Arial"/>
      <family val="2"/>
    </font>
    <font>
      <b/>
      <sz val="8"/>
      <name val="Arial"/>
      <family val="2"/>
    </font>
    <font>
      <sz val="10"/>
      <name val="Calibri"/>
      <family val="2"/>
      <scheme val="minor"/>
    </font>
    <font>
      <sz val="8"/>
      <name val="Arial"/>
      <family val="2"/>
    </font>
    <font>
      <b/>
      <i/>
      <sz val="10"/>
      <name val="Calibri"/>
      <family val="2"/>
      <scheme val="minor"/>
    </font>
    <font>
      <i/>
      <sz val="9"/>
      <name val="Calibri"/>
      <family val="2"/>
      <scheme val="minor"/>
    </font>
    <font>
      <b/>
      <i/>
      <sz val="10"/>
      <color rgb="FFC00000"/>
      <name val="Calibri"/>
      <family val="2"/>
      <scheme val="minor"/>
    </font>
    <font>
      <b/>
      <u/>
      <sz val="9"/>
      <name val="Calibri"/>
      <family val="2"/>
      <scheme val="minor"/>
    </font>
    <font>
      <sz val="7.5"/>
      <name val="Calibri"/>
      <family val="2"/>
      <scheme val="minor"/>
    </font>
    <font>
      <i/>
      <sz val="8"/>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4"/>
      <color rgb="FFC00000"/>
      <name val="Calibri"/>
      <family val="2"/>
      <scheme val="minor"/>
    </font>
    <font>
      <b/>
      <u/>
      <sz val="14"/>
      <color theme="8" tint="-0.249977111117893"/>
      <name val="Calibri"/>
      <family val="2"/>
      <scheme val="minor"/>
    </font>
    <font>
      <sz val="12"/>
      <color theme="1"/>
      <name val="Wingdings"/>
      <charset val="2"/>
    </font>
    <font>
      <i/>
      <sz val="12"/>
      <color theme="1"/>
      <name val="Calibri"/>
      <family val="2"/>
      <scheme val="minor"/>
    </font>
    <font>
      <b/>
      <sz val="11"/>
      <color rgb="FFC00000"/>
      <name val="Calibri"/>
      <family val="2"/>
      <scheme val="minor"/>
    </font>
    <font>
      <sz val="11"/>
      <color rgb="FFC00000"/>
      <name val="Calibri"/>
      <family val="2"/>
      <scheme val="minor"/>
    </font>
    <font>
      <sz val="11"/>
      <color theme="0"/>
      <name val="Calibri"/>
      <family val="2"/>
      <scheme val="minor"/>
    </font>
    <font>
      <b/>
      <sz val="14"/>
      <color theme="1"/>
      <name val="Calibri"/>
      <family val="2"/>
      <scheme val="minor"/>
    </font>
    <font>
      <sz val="11"/>
      <color theme="1"/>
      <name val="Wingdings"/>
      <charset val="2"/>
    </font>
    <font>
      <b/>
      <i/>
      <sz val="8"/>
      <name val="Calibri"/>
      <family val="2"/>
      <scheme val="minor"/>
    </font>
    <font>
      <sz val="8"/>
      <color rgb="FF000000"/>
      <name val="Segoe UI"/>
      <family val="2"/>
    </font>
    <font>
      <b/>
      <sz val="10"/>
      <color theme="1"/>
      <name val="Calibri"/>
      <family val="2"/>
      <scheme val="minor"/>
    </font>
    <font>
      <i/>
      <sz val="10"/>
      <color theme="1"/>
      <name val="Calibri"/>
      <family val="2"/>
      <scheme val="minor"/>
    </font>
    <font>
      <b/>
      <u/>
      <sz val="11"/>
      <color theme="1"/>
      <name val="Calibri"/>
      <family val="2"/>
      <scheme val="minor"/>
    </font>
    <font>
      <b/>
      <u/>
      <sz val="11"/>
      <name val="Calibri"/>
      <family val="2"/>
      <scheme val="minor"/>
    </font>
    <font>
      <b/>
      <sz val="14"/>
      <color theme="5" tint="-0.249977111117893"/>
      <name val="Calibri"/>
      <family val="2"/>
      <scheme val="minor"/>
    </font>
    <font>
      <b/>
      <sz val="16"/>
      <color rgb="FF0070C0"/>
      <name val="Calibri"/>
      <family val="2"/>
      <scheme val="minor"/>
    </font>
    <font>
      <b/>
      <i/>
      <sz val="9"/>
      <name val="Calibri"/>
      <family val="2"/>
      <scheme val="minor"/>
    </font>
    <font>
      <sz val="22"/>
      <color theme="1"/>
      <name val="Wingdings"/>
      <charset val="2"/>
    </font>
    <font>
      <sz val="11"/>
      <name val="Calibri"/>
      <family val="2"/>
      <scheme val="minor"/>
    </font>
    <font>
      <b/>
      <sz val="12"/>
      <color rgb="FFFF0000"/>
      <name val="Calibri"/>
      <family val="2"/>
      <scheme val="minor"/>
    </font>
    <font>
      <sz val="9"/>
      <name val="Calibri"/>
      <family val="2"/>
      <scheme val="minor"/>
    </font>
    <font>
      <b/>
      <sz val="11"/>
      <color rgb="FFFF0000"/>
      <name val="Calibri"/>
      <family val="2"/>
      <scheme val="minor"/>
    </font>
    <font>
      <b/>
      <sz val="10"/>
      <color rgb="FFC00000"/>
      <name val="Calibri"/>
      <family val="2"/>
      <scheme val="minor"/>
    </font>
    <font>
      <sz val="14"/>
      <color rgb="FFFF0000"/>
      <name val="Calibri"/>
      <family val="2"/>
      <scheme val="minor"/>
    </font>
    <font>
      <b/>
      <sz val="11"/>
      <color rgb="FF000000"/>
      <name val="Calibri"/>
      <family val="2"/>
    </font>
    <font>
      <b/>
      <sz val="12"/>
      <color rgb="FF00B050"/>
      <name val="Calibri"/>
      <family val="2"/>
      <scheme val="minor"/>
    </font>
    <font>
      <b/>
      <u/>
      <sz val="14"/>
      <color rgb="FFFF0000"/>
      <name val="Calibri"/>
      <family val="2"/>
      <scheme val="minor"/>
    </font>
    <font>
      <b/>
      <sz val="12"/>
      <color rgb="FFC00000"/>
      <name val="Calibri"/>
      <family val="2"/>
      <scheme val="minor"/>
    </font>
    <font>
      <sz val="12"/>
      <color rgb="FFC00000"/>
      <name val="Calibri"/>
      <family val="2"/>
      <scheme val="minor"/>
    </font>
    <font>
      <b/>
      <sz val="13"/>
      <color rgb="FFC00000"/>
      <name val="Calibri"/>
      <family val="2"/>
      <scheme val="minor"/>
    </font>
  </fonts>
  <fills count="20">
    <fill>
      <patternFill patternType="none"/>
    </fill>
    <fill>
      <patternFill patternType="gray125"/>
    </fill>
    <fill>
      <patternFill patternType="gray0625">
        <bgColor indexed="22"/>
      </patternFill>
    </fill>
    <fill>
      <patternFill patternType="lightUp">
        <bgColor theme="0" tint="-0.249977111117893"/>
      </patternFill>
    </fill>
    <fill>
      <patternFill patternType="solid">
        <fgColor rgb="FFFFCCFF"/>
        <bgColor indexed="64"/>
      </patternFill>
    </fill>
    <fill>
      <patternFill patternType="solid">
        <fgColor theme="0"/>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66FF66"/>
        <bgColor indexed="64"/>
      </patternFill>
    </fill>
    <fill>
      <patternFill patternType="solid">
        <fgColor rgb="FF66FFFF"/>
        <bgColor indexed="64"/>
      </patternFill>
    </fill>
    <fill>
      <patternFill patternType="solid">
        <fgColor rgb="FF0070C0"/>
        <bgColor indexed="64"/>
      </patternFill>
    </fill>
    <fill>
      <patternFill patternType="solid">
        <fgColor rgb="FFFF99FF"/>
        <bgColor indexed="64"/>
      </patternFill>
    </fill>
    <fill>
      <patternFill patternType="lightDown">
        <bgColor auto="1"/>
      </patternFill>
    </fill>
    <fill>
      <patternFill patternType="solid">
        <fgColor rgb="FFFFFF00"/>
        <bgColor indexed="64"/>
      </patternFill>
    </fill>
    <fill>
      <patternFill patternType="solid">
        <fgColor theme="4"/>
        <bgColor indexed="64"/>
      </patternFill>
    </fill>
    <fill>
      <patternFill patternType="solid">
        <fgColor rgb="FF00B050"/>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theme="0" tint="-0.14999847407452621"/>
      </bottom>
      <diagonal/>
    </border>
    <border>
      <left style="thin">
        <color indexed="64"/>
      </left>
      <right/>
      <top style="medium">
        <color indexed="64"/>
      </top>
      <bottom style="dashed">
        <color theme="0" tint="-0.14999847407452621"/>
      </bottom>
      <diagonal/>
    </border>
    <border>
      <left style="thin">
        <color indexed="64"/>
      </left>
      <right style="medium">
        <color indexed="64"/>
      </right>
      <top style="medium">
        <color indexed="64"/>
      </top>
      <bottom style="dashed">
        <color theme="0" tint="-0.14999847407452621"/>
      </bottom>
      <diagonal/>
    </border>
    <border>
      <left style="medium">
        <color indexed="64"/>
      </left>
      <right/>
      <top style="thin">
        <color indexed="64"/>
      </top>
      <bottom style="dashed">
        <color theme="0" tint="-0.14999847407452621"/>
      </bottom>
      <diagonal/>
    </border>
    <border>
      <left style="thin">
        <color indexed="64"/>
      </left>
      <right/>
      <top style="thin">
        <color indexed="64"/>
      </top>
      <bottom style="dashed">
        <color theme="0" tint="-0.14999847407452621"/>
      </bottom>
      <diagonal/>
    </border>
    <border>
      <left style="thin">
        <color indexed="64"/>
      </left>
      <right style="medium">
        <color indexed="64"/>
      </right>
      <top style="thin">
        <color indexed="64"/>
      </top>
      <bottom style="dashed">
        <color theme="0" tint="-0.14999847407452621"/>
      </bottom>
      <diagonal/>
    </border>
    <border>
      <left style="thin">
        <color indexed="64"/>
      </left>
      <right style="medium">
        <color indexed="64"/>
      </right>
      <top/>
      <bottom style="thin">
        <color indexed="64"/>
      </bottom>
      <diagonal/>
    </border>
  </borders>
  <cellStyleXfs count="1">
    <xf numFmtId="0" fontId="0" fillId="0" borderId="0"/>
  </cellStyleXfs>
  <cellXfs count="344">
    <xf numFmtId="0" fontId="0" fillId="0" borderId="0" xfId="0"/>
    <xf numFmtId="0" fontId="0" fillId="0" borderId="0" xfId="0" applyBorder="1"/>
    <xf numFmtId="0" fontId="13" fillId="4" borderId="31" xfId="0" applyFont="1" applyFill="1" applyBorder="1" applyAlignment="1">
      <alignment vertical="top" wrapText="1"/>
    </xf>
    <xf numFmtId="49" fontId="13" fillId="3" borderId="31" xfId="0" applyNumberFormat="1" applyFont="1" applyFill="1" applyBorder="1" applyAlignment="1">
      <alignment horizontal="left" vertical="top"/>
    </xf>
    <xf numFmtId="0" fontId="16" fillId="8" borderId="31" xfId="0" applyFont="1" applyFill="1" applyBorder="1"/>
    <xf numFmtId="0" fontId="15" fillId="6" borderId="31" xfId="0" applyFont="1" applyFill="1" applyBorder="1" applyAlignment="1">
      <alignment horizontal="right"/>
    </xf>
    <xf numFmtId="2" fontId="16" fillId="10" borderId="31" xfId="0" applyNumberFormat="1" applyFont="1" applyFill="1" applyBorder="1"/>
    <xf numFmtId="0" fontId="0" fillId="0" borderId="0" xfId="0" applyProtection="1"/>
    <xf numFmtId="0" fontId="15" fillId="6" borderId="31" xfId="0" applyFont="1" applyFill="1" applyBorder="1" applyAlignment="1" applyProtection="1">
      <alignment horizontal="right"/>
    </xf>
    <xf numFmtId="2" fontId="14" fillId="11" borderId="31" xfId="0" applyNumberFormat="1" applyFont="1" applyFill="1" applyBorder="1" applyAlignment="1" applyProtection="1">
      <alignment horizontal="left" vertical="top" wrapText="1"/>
    </xf>
    <xf numFmtId="0" fontId="16" fillId="12" borderId="31" xfId="0" applyFont="1" applyFill="1" applyBorder="1" applyProtection="1"/>
    <xf numFmtId="2" fontId="16" fillId="13" borderId="11" xfId="0" applyNumberFormat="1" applyFont="1" applyFill="1" applyBorder="1" applyProtection="1"/>
    <xf numFmtId="0" fontId="0" fillId="5" borderId="0" xfId="0" applyFill="1"/>
    <xf numFmtId="0" fontId="19" fillId="5" borderId="0" xfId="0" applyFont="1" applyFill="1" applyBorder="1" applyAlignment="1">
      <alignment wrapText="1"/>
    </xf>
    <xf numFmtId="0" fontId="16" fillId="5" borderId="0" xfId="0" applyFont="1" applyFill="1" applyBorder="1" applyAlignment="1">
      <alignment horizontal="right"/>
    </xf>
    <xf numFmtId="0" fontId="16" fillId="5" borderId="0" xfId="0" applyFont="1" applyFill="1" applyBorder="1"/>
    <xf numFmtId="0" fontId="16" fillId="5" borderId="0" xfId="0" quotePrefix="1" applyFont="1" applyFill="1" applyBorder="1" applyAlignment="1">
      <alignment horizontal="right"/>
    </xf>
    <xf numFmtId="0" fontId="0" fillId="5" borderId="0" xfId="0" applyFill="1" applyBorder="1"/>
    <xf numFmtId="0" fontId="16" fillId="5" borderId="21" xfId="0" applyFont="1" applyFill="1" applyBorder="1"/>
    <xf numFmtId="0" fontId="0" fillId="5" borderId="0" xfId="0" applyFill="1" applyBorder="1" applyAlignment="1">
      <alignment horizontal="justify"/>
    </xf>
    <xf numFmtId="0" fontId="13" fillId="5" borderId="0" xfId="0" applyFont="1" applyFill="1" applyBorder="1" applyAlignment="1">
      <alignment horizontal="left" vertical="top" wrapText="1"/>
    </xf>
    <xf numFmtId="0" fontId="15" fillId="5" borderId="0" xfId="0" applyFont="1" applyFill="1" applyBorder="1" applyAlignment="1">
      <alignment horizontal="left"/>
    </xf>
    <xf numFmtId="0" fontId="13" fillId="5" borderId="0" xfId="0" applyFont="1" applyFill="1" applyBorder="1"/>
    <xf numFmtId="0" fontId="15" fillId="5" borderId="0" xfId="0" applyFont="1" applyFill="1" applyBorder="1" applyAlignment="1">
      <alignment horizontal="right"/>
    </xf>
    <xf numFmtId="0" fontId="10" fillId="5" borderId="0" xfId="0" applyFont="1" applyFill="1" applyBorder="1" applyAlignment="1">
      <alignment horizontal="right"/>
    </xf>
    <xf numFmtId="0" fontId="0" fillId="5" borderId="0" xfId="0" applyFill="1" applyBorder="1" applyAlignment="1">
      <alignment horizontal="center"/>
    </xf>
    <xf numFmtId="0" fontId="0" fillId="5" borderId="0" xfId="0" applyFill="1" applyBorder="1" applyAlignment="1">
      <alignment horizontal="left"/>
    </xf>
    <xf numFmtId="0" fontId="0" fillId="5" borderId="0" xfId="0" applyNumberFormat="1" applyFill="1" applyBorder="1" applyAlignment="1">
      <alignment horizontal="center"/>
    </xf>
    <xf numFmtId="0" fontId="13" fillId="5" borderId="0" xfId="0" applyFont="1" applyFill="1" applyBorder="1" applyAlignment="1">
      <alignment horizontal="left" vertical="top"/>
    </xf>
    <xf numFmtId="0" fontId="4" fillId="5" borderId="0" xfId="0" applyFont="1" applyFill="1" applyBorder="1" applyAlignment="1">
      <alignment horizontal="left"/>
    </xf>
    <xf numFmtId="0" fontId="3" fillId="5" borderId="0" xfId="0" applyFont="1" applyFill="1" applyBorder="1" applyAlignment="1">
      <alignment horizontal="center"/>
    </xf>
    <xf numFmtId="0" fontId="11" fillId="5" borderId="0" xfId="0" applyFont="1" applyFill="1" applyBorder="1" applyAlignment="1">
      <alignment horizontal="center"/>
    </xf>
    <xf numFmtId="0" fontId="16" fillId="5" borderId="0" xfId="0" applyFont="1" applyFill="1" applyBorder="1" applyAlignment="1"/>
    <xf numFmtId="0" fontId="18" fillId="5" borderId="0" xfId="0" applyFont="1" applyFill="1" applyBorder="1" applyAlignment="1">
      <alignment wrapText="1"/>
    </xf>
    <xf numFmtId="0" fontId="3" fillId="5" borderId="0" xfId="0" applyFont="1" applyFill="1" applyBorder="1" applyAlignment="1">
      <alignment vertical="top"/>
    </xf>
    <xf numFmtId="0" fontId="0" fillId="5" borderId="0" xfId="0" applyNumberFormat="1" applyFill="1" applyBorder="1"/>
    <xf numFmtId="0" fontId="0" fillId="0" borderId="0" xfId="0" applyAlignment="1">
      <alignment wrapText="1"/>
    </xf>
    <xf numFmtId="0" fontId="16" fillId="0" borderId="0" xfId="0" applyFont="1" applyFill="1" applyBorder="1" applyAlignment="1"/>
    <xf numFmtId="0" fontId="16" fillId="0" borderId="0" xfId="0" applyFont="1" applyFill="1" applyBorder="1"/>
    <xf numFmtId="0" fontId="10" fillId="5" borderId="0" xfId="0" applyFont="1" applyFill="1" applyBorder="1" applyAlignment="1" applyProtection="1">
      <alignment vertical="top"/>
    </xf>
    <xf numFmtId="0" fontId="16" fillId="5" borderId="0" xfId="0" applyFont="1" applyFill="1" applyBorder="1" applyProtection="1"/>
    <xf numFmtId="0" fontId="0" fillId="0" borderId="0" xfId="0" applyFill="1"/>
    <xf numFmtId="0" fontId="0" fillId="5" borderId="0" xfId="0" applyNumberFormat="1" applyFill="1"/>
    <xf numFmtId="0" fontId="0" fillId="5" borderId="0" xfId="0" applyNumberFormat="1" applyFill="1" applyAlignment="1">
      <alignment horizontal="center"/>
    </xf>
    <xf numFmtId="2" fontId="0" fillId="5" borderId="0" xfId="0" applyNumberFormat="1" applyFill="1" applyAlignment="1">
      <alignment horizontal="center"/>
    </xf>
    <xf numFmtId="0" fontId="16" fillId="5" borderId="0" xfId="0" applyFont="1" applyFill="1" applyBorder="1" applyAlignment="1" applyProtection="1"/>
    <xf numFmtId="0" fontId="0" fillId="5" borderId="0" xfId="0" applyFill="1" applyProtection="1"/>
    <xf numFmtId="0" fontId="0" fillId="5" borderId="0" xfId="0" applyFill="1" applyAlignment="1">
      <alignment vertical="top"/>
    </xf>
    <xf numFmtId="0" fontId="3" fillId="5" borderId="0" xfId="0" applyFont="1" applyFill="1" applyAlignment="1">
      <alignment vertical="top"/>
    </xf>
    <xf numFmtId="0" fontId="3" fillId="5" borderId="0" xfId="0" applyFont="1" applyFill="1" applyAlignment="1">
      <alignment horizontal="center"/>
    </xf>
    <xf numFmtId="0" fontId="11" fillId="5" borderId="0" xfId="0" applyFont="1" applyFill="1" applyAlignment="1">
      <alignment horizontal="center"/>
    </xf>
    <xf numFmtId="0" fontId="0" fillId="5" borderId="0" xfId="0" applyFill="1" applyAlignment="1">
      <alignment horizontal="justify"/>
    </xf>
    <xf numFmtId="0" fontId="16" fillId="5" borderId="0" xfId="0" applyFont="1" applyFill="1"/>
    <xf numFmtId="0" fontId="2" fillId="5" borderId="0" xfId="0" applyFont="1" applyFill="1" applyAlignment="1"/>
    <xf numFmtId="0" fontId="2" fillId="5" borderId="0" xfId="0" applyFont="1" applyFill="1" applyAlignment="1">
      <alignment horizontal="right"/>
    </xf>
    <xf numFmtId="0" fontId="3" fillId="5" borderId="0" xfId="0" applyFont="1" applyFill="1" applyAlignment="1" applyProtection="1">
      <alignment horizontal="center" vertical="center"/>
    </xf>
    <xf numFmtId="0" fontId="7" fillId="5" borderId="0" xfId="0" applyFont="1" applyFill="1" applyBorder="1" applyAlignment="1"/>
    <xf numFmtId="0" fontId="0" fillId="5" borderId="0" xfId="0" applyFill="1" applyBorder="1" applyAlignment="1">
      <alignment vertical="center" wrapText="1"/>
    </xf>
    <xf numFmtId="0" fontId="9" fillId="5" borderId="0" xfId="0" applyFont="1" applyFill="1" applyBorder="1" applyAlignment="1">
      <alignment horizontal="center" vertical="center"/>
    </xf>
    <xf numFmtId="0" fontId="3" fillId="5" borderId="0" xfId="0" applyFont="1" applyFill="1" applyAlignment="1" applyProtection="1">
      <alignment horizontal="center"/>
    </xf>
    <xf numFmtId="0" fontId="11" fillId="5" borderId="0" xfId="0" applyFont="1" applyFill="1" applyAlignment="1" applyProtection="1">
      <alignment horizontal="center"/>
    </xf>
    <xf numFmtId="14" fontId="0" fillId="0" borderId="0" xfId="0" applyNumberFormat="1"/>
    <xf numFmtId="0" fontId="33" fillId="5" borderId="0" xfId="0" applyFont="1" applyFill="1"/>
    <xf numFmtId="0" fontId="0" fillId="5" borderId="0" xfId="0" applyFill="1" applyAlignment="1" applyProtection="1">
      <alignment vertical="top"/>
    </xf>
    <xf numFmtId="0" fontId="2" fillId="5" borderId="0" xfId="0" applyFont="1" applyFill="1" applyAlignment="1" applyProtection="1"/>
    <xf numFmtId="0" fontId="1" fillId="5" borderId="0" xfId="0" applyFont="1" applyFill="1" applyBorder="1" applyAlignment="1" applyProtection="1">
      <alignment horizontal="left"/>
    </xf>
    <xf numFmtId="0" fontId="7" fillId="5" borderId="0" xfId="0" applyFont="1" applyFill="1" applyBorder="1" applyAlignment="1" applyProtection="1"/>
    <xf numFmtId="0" fontId="15" fillId="14" borderId="31" xfId="0" applyFont="1" applyFill="1" applyBorder="1" applyAlignment="1">
      <alignment horizontal="right"/>
    </xf>
    <xf numFmtId="0" fontId="0" fillId="5" borderId="0" xfId="0" applyFill="1" applyAlignment="1">
      <alignment wrapText="1"/>
    </xf>
    <xf numFmtId="2" fontId="14" fillId="7" borderId="31" xfId="0" applyNumberFormat="1" applyFont="1" applyFill="1" applyBorder="1" applyAlignment="1" applyProtection="1">
      <alignment horizontal="left" vertical="top" wrapText="1"/>
    </xf>
    <xf numFmtId="0" fontId="34" fillId="5" borderId="0" xfId="0" applyFont="1" applyFill="1" applyAlignment="1" applyProtection="1">
      <alignment horizontal="right"/>
    </xf>
    <xf numFmtId="2" fontId="34" fillId="5" borderId="1" xfId="0" applyNumberFormat="1" applyFont="1" applyFill="1" applyBorder="1" applyAlignment="1" applyProtection="1">
      <alignment horizontal="center"/>
    </xf>
    <xf numFmtId="2" fontId="34" fillId="5" borderId="2" xfId="0" applyNumberFormat="1" applyFont="1" applyFill="1" applyBorder="1" applyAlignment="1" applyProtection="1">
      <alignment horizontal="center"/>
    </xf>
    <xf numFmtId="0" fontId="15" fillId="14" borderId="31" xfId="0" applyFont="1" applyFill="1" applyBorder="1" applyAlignment="1" applyProtection="1">
      <alignment horizontal="right"/>
    </xf>
    <xf numFmtId="0" fontId="16" fillId="8" borderId="31" xfId="0" applyFont="1" applyFill="1" applyBorder="1" applyProtection="1"/>
    <xf numFmtId="2" fontId="16" fillId="10" borderId="31" xfId="0" applyNumberFormat="1" applyFont="1" applyFill="1" applyBorder="1" applyProtection="1"/>
    <xf numFmtId="0" fontId="13" fillId="5" borderId="0" xfId="0" applyFont="1" applyFill="1" applyBorder="1" applyAlignment="1">
      <alignment horizontal="left"/>
    </xf>
    <xf numFmtId="0" fontId="0" fillId="5" borderId="0" xfId="0" applyNumberFormat="1" applyFill="1" applyBorder="1" applyAlignment="1">
      <alignment horizontal="left"/>
    </xf>
    <xf numFmtId="2" fontId="0" fillId="5" borderId="0" xfId="0" applyNumberFormat="1" applyFill="1" applyBorder="1" applyAlignment="1">
      <alignment horizontal="left"/>
    </xf>
    <xf numFmtId="0" fontId="32" fillId="0" borderId="0" xfId="0" applyFont="1" applyAlignment="1">
      <alignment vertical="center" wrapText="1"/>
    </xf>
    <xf numFmtId="164" fontId="16" fillId="5" borderId="32" xfId="0" applyNumberFormat="1" applyFont="1" applyFill="1" applyBorder="1" applyAlignment="1"/>
    <xf numFmtId="0" fontId="16" fillId="5" borderId="32" xfId="0" applyFont="1" applyFill="1" applyBorder="1" applyAlignment="1">
      <alignment horizontal="right"/>
    </xf>
    <xf numFmtId="0" fontId="23" fillId="5" borderId="32" xfId="0" applyFont="1" applyFill="1" applyBorder="1"/>
    <xf numFmtId="0" fontId="16" fillId="5" borderId="32" xfId="0" applyFont="1" applyFill="1" applyBorder="1"/>
    <xf numFmtId="0" fontId="16" fillId="5" borderId="28" xfId="0" applyFont="1" applyFill="1" applyBorder="1"/>
    <xf numFmtId="0" fontId="0" fillId="0" borderId="0" xfId="0" applyFill="1" applyAlignment="1">
      <alignment wrapText="1"/>
    </xf>
    <xf numFmtId="0" fontId="20" fillId="5" borderId="0" xfId="0" applyFont="1" applyFill="1" applyBorder="1" applyAlignment="1">
      <alignment wrapText="1"/>
    </xf>
    <xf numFmtId="0" fontId="44" fillId="5" borderId="0" xfId="0" applyFont="1" applyFill="1" applyBorder="1" applyAlignment="1">
      <alignment horizontal="center" vertical="top" wrapText="1"/>
    </xf>
    <xf numFmtId="165" fontId="15" fillId="5" borderId="8" xfId="0" applyNumberFormat="1" applyFont="1" applyFill="1" applyBorder="1" applyAlignment="1">
      <alignment horizontal="left" vertical="center" wrapText="1"/>
    </xf>
    <xf numFmtId="165" fontId="15" fillId="5" borderId="21" xfId="0" applyNumberFormat="1" applyFont="1" applyFill="1" applyBorder="1" applyAlignment="1">
      <alignment horizontal="left" vertical="center" wrapText="1"/>
    </xf>
    <xf numFmtId="165" fontId="15" fillId="5" borderId="22" xfId="0" applyNumberFormat="1" applyFont="1" applyFill="1" applyBorder="1" applyAlignment="1">
      <alignment horizontal="left" vertical="center" wrapText="1"/>
    </xf>
    <xf numFmtId="0" fontId="0" fillId="0" borderId="0" xfId="0" applyFill="1" applyBorder="1"/>
    <xf numFmtId="0" fontId="24" fillId="0" borderId="0" xfId="0" applyFont="1" applyFill="1"/>
    <xf numFmtId="0" fontId="24" fillId="0" borderId="0" xfId="0" applyFont="1" applyFill="1" applyAlignment="1">
      <alignment horizontal="center"/>
    </xf>
    <xf numFmtId="14" fontId="0" fillId="0" borderId="0" xfId="0" applyNumberFormat="1" applyFill="1"/>
    <xf numFmtId="0" fontId="0" fillId="0" borderId="0" xfId="0" applyNumberFormat="1" applyFill="1" applyAlignment="1" applyProtection="1"/>
    <xf numFmtId="165" fontId="15" fillId="5" borderId="33" xfId="0" applyNumberFormat="1" applyFont="1" applyFill="1" applyBorder="1" applyAlignment="1">
      <alignment horizontal="left" vertical="center" wrapText="1"/>
    </xf>
    <xf numFmtId="49" fontId="13" fillId="16" borderId="31" xfId="0" applyNumberFormat="1" applyFont="1" applyFill="1" applyBorder="1" applyAlignment="1">
      <alignment horizontal="left" vertical="top"/>
    </xf>
    <xf numFmtId="0" fontId="13" fillId="15" borderId="31" xfId="0" applyFont="1" applyFill="1" applyBorder="1" applyAlignment="1">
      <alignment vertical="top" wrapText="1"/>
    </xf>
    <xf numFmtId="1" fontId="46" fillId="5" borderId="0" xfId="0" applyNumberFormat="1" applyFont="1" applyFill="1" applyBorder="1" applyAlignment="1">
      <alignment vertical="center" wrapText="1"/>
    </xf>
    <xf numFmtId="0" fontId="20" fillId="5" borderId="0" xfId="0" applyFont="1" applyFill="1" applyAlignment="1" applyProtection="1">
      <alignment wrapText="1"/>
    </xf>
    <xf numFmtId="0" fontId="16" fillId="5" borderId="8" xfId="0" applyFont="1" applyFill="1" applyBorder="1" applyProtection="1"/>
    <xf numFmtId="0" fontId="16" fillId="12" borderId="0" xfId="0" applyFont="1" applyFill="1" applyBorder="1" applyAlignment="1" applyProtection="1">
      <alignment horizontal="right"/>
    </xf>
    <xf numFmtId="49" fontId="8" fillId="12" borderId="0" xfId="0" applyNumberFormat="1" applyFont="1" applyFill="1" applyBorder="1" applyAlignment="1" applyProtection="1">
      <alignment horizontal="center"/>
    </xf>
    <xf numFmtId="0" fontId="16" fillId="13" borderId="0" xfId="0" applyFont="1" applyFill="1" applyBorder="1" applyAlignment="1" applyProtection="1">
      <alignment horizontal="right"/>
    </xf>
    <xf numFmtId="49" fontId="8" fillId="13" borderId="0" xfId="0" applyNumberFormat="1" applyFont="1" applyFill="1" applyBorder="1" applyAlignment="1" applyProtection="1">
      <alignment horizontal="center"/>
    </xf>
    <xf numFmtId="0" fontId="16" fillId="5" borderId="15" xfId="0" applyFont="1" applyFill="1" applyBorder="1" applyAlignment="1" applyProtection="1">
      <alignment horizontal="left"/>
    </xf>
    <xf numFmtId="0" fontId="16" fillId="12" borderId="0" xfId="0" quotePrefix="1" applyFont="1" applyFill="1" applyBorder="1" applyAlignment="1" applyProtection="1">
      <alignment horizontal="right"/>
    </xf>
    <xf numFmtId="0" fontId="16" fillId="5" borderId="21" xfId="0" applyFont="1" applyFill="1" applyBorder="1" applyProtection="1"/>
    <xf numFmtId="0" fontId="16" fillId="5" borderId="32" xfId="0" applyFont="1" applyFill="1" applyBorder="1" applyAlignment="1" applyProtection="1">
      <alignment horizontal="left"/>
    </xf>
    <xf numFmtId="0" fontId="0" fillId="5" borderId="32" xfId="0" applyFill="1" applyBorder="1"/>
    <xf numFmtId="0" fontId="0" fillId="5" borderId="28" xfId="0" applyFill="1" applyBorder="1"/>
    <xf numFmtId="0" fontId="0" fillId="5" borderId="0" xfId="0" applyFill="1" applyBorder="1" applyAlignment="1"/>
    <xf numFmtId="0" fontId="16" fillId="5" borderId="0" xfId="0" applyFont="1" applyFill="1" applyBorder="1" applyAlignment="1">
      <alignment horizontal="left"/>
    </xf>
    <xf numFmtId="0" fontId="10" fillId="5" borderId="0" xfId="0" applyFont="1" applyFill="1" applyBorder="1" applyAlignment="1" applyProtection="1">
      <alignment horizontal="left" vertical="top"/>
    </xf>
    <xf numFmtId="0" fontId="10" fillId="5" borderId="0" xfId="0" applyFont="1" applyFill="1" applyBorder="1" applyAlignment="1">
      <alignment horizontal="center" vertical="center" wrapText="1"/>
    </xf>
    <xf numFmtId="164" fontId="16" fillId="5" borderId="32" xfId="0" applyNumberFormat="1" applyFont="1" applyFill="1" applyBorder="1" applyAlignment="1" applyProtection="1">
      <alignment horizontal="center"/>
    </xf>
    <xf numFmtId="2" fontId="8" fillId="5" borderId="0" xfId="0" applyNumberFormat="1" applyFont="1" applyFill="1" applyBorder="1" applyAlignment="1">
      <alignment horizontal="left"/>
    </xf>
    <xf numFmtId="0" fontId="16" fillId="5" borderId="8" xfId="0" applyFont="1" applyFill="1" applyBorder="1" applyAlignment="1">
      <alignment horizontal="right"/>
    </xf>
    <xf numFmtId="0" fontId="16" fillId="5" borderId="8" xfId="0" quotePrefix="1" applyFont="1" applyFill="1" applyBorder="1" applyAlignment="1">
      <alignment horizontal="right"/>
    </xf>
    <xf numFmtId="0" fontId="10" fillId="5" borderId="0" xfId="0" applyFont="1" applyFill="1" applyBorder="1" applyAlignment="1">
      <alignment vertical="top"/>
    </xf>
    <xf numFmtId="0" fontId="18" fillId="5" borderId="0" xfId="0" applyFont="1" applyFill="1" applyAlignment="1" applyProtection="1">
      <alignment wrapText="1"/>
    </xf>
    <xf numFmtId="0" fontId="0" fillId="0" borderId="0" xfId="0" applyAlignment="1">
      <alignment horizontal="center"/>
    </xf>
    <xf numFmtId="0" fontId="0" fillId="0" borderId="0" xfId="0" applyAlignment="1"/>
    <xf numFmtId="166" fontId="0" fillId="0" borderId="0" xfId="0" applyNumberFormat="1"/>
    <xf numFmtId="0" fontId="16" fillId="5" borderId="0" xfId="0" applyFont="1" applyFill="1" applyAlignment="1" applyProtection="1">
      <alignment horizontal="left"/>
    </xf>
    <xf numFmtId="0" fontId="16" fillId="17" borderId="31" xfId="0" applyFont="1" applyFill="1" applyBorder="1" applyProtection="1"/>
    <xf numFmtId="0" fontId="49" fillId="5" borderId="31" xfId="0" applyFont="1" applyFill="1" applyBorder="1" applyAlignment="1">
      <alignment horizontal="center"/>
    </xf>
    <xf numFmtId="2" fontId="14" fillId="5" borderId="31" xfId="0" applyNumberFormat="1" applyFont="1" applyFill="1" applyBorder="1" applyAlignment="1" applyProtection="1">
      <alignment horizontal="left" vertical="top" wrapText="1"/>
    </xf>
    <xf numFmtId="0" fontId="13" fillId="15" borderId="31" xfId="0" applyFont="1" applyFill="1" applyBorder="1" applyAlignment="1" applyProtection="1">
      <alignment vertical="top" wrapText="1"/>
    </xf>
    <xf numFmtId="49" fontId="13" fillId="16" borderId="31" xfId="0" applyNumberFormat="1" applyFont="1" applyFill="1" applyBorder="1" applyAlignment="1" applyProtection="1">
      <alignment horizontal="left" vertical="top"/>
    </xf>
    <xf numFmtId="0" fontId="0" fillId="5" borderId="0" xfId="0" applyFont="1" applyFill="1" applyProtection="1"/>
    <xf numFmtId="0" fontId="29" fillId="5" borderId="0" xfId="0" applyFont="1" applyFill="1" applyAlignment="1" applyProtection="1">
      <alignment horizontal="center" vertical="top"/>
    </xf>
    <xf numFmtId="0" fontId="26" fillId="5" borderId="0" xfId="0" applyFont="1" applyFill="1" applyAlignment="1" applyProtection="1">
      <alignment horizontal="left" vertical="top" wrapText="1"/>
    </xf>
    <xf numFmtId="0" fontId="0" fillId="5" borderId="0" xfId="0" applyFill="1" applyAlignment="1" applyProtection="1">
      <alignment horizontal="left"/>
    </xf>
    <xf numFmtId="0" fontId="29" fillId="5" borderId="0" xfId="0" applyFont="1" applyFill="1" applyAlignment="1" applyProtection="1">
      <alignment horizontal="center" vertical="top" wrapText="1"/>
    </xf>
    <xf numFmtId="0" fontId="26" fillId="5" borderId="0" xfId="0" applyFont="1" applyFill="1" applyAlignment="1" applyProtection="1">
      <alignment horizontal="left" wrapText="1"/>
    </xf>
    <xf numFmtId="0" fontId="0" fillId="5" borderId="0" xfId="0" applyFont="1" applyFill="1"/>
    <xf numFmtId="0" fontId="26" fillId="5" borderId="0" xfId="0" applyFont="1" applyFill="1" applyAlignment="1">
      <alignment vertical="center"/>
    </xf>
    <xf numFmtId="0" fontId="28" fillId="5" borderId="0" xfId="0" applyFont="1" applyFill="1" applyAlignment="1" applyProtection="1">
      <alignment vertical="center"/>
    </xf>
    <xf numFmtId="0" fontId="0" fillId="5" borderId="0" xfId="0" applyFont="1" applyFill="1" applyBorder="1" applyAlignment="1" applyProtection="1">
      <alignment horizontal="right" indent="1"/>
    </xf>
    <xf numFmtId="0" fontId="0" fillId="5" borderId="0" xfId="0" applyFill="1" applyAlignment="1" applyProtection="1">
      <alignment horizontal="left" wrapText="1"/>
    </xf>
    <xf numFmtId="0" fontId="16" fillId="5" borderId="0" xfId="0" applyFont="1" applyFill="1" applyBorder="1" applyAlignment="1" applyProtection="1">
      <alignment horizontal="left"/>
    </xf>
    <xf numFmtId="0" fontId="13" fillId="5" borderId="0" xfId="0" applyFont="1" applyFill="1" applyBorder="1" applyAlignment="1" applyProtection="1">
      <alignment horizontal="left" vertical="top" wrapText="1"/>
    </xf>
    <xf numFmtId="0" fontId="16" fillId="5" borderId="29" xfId="0" applyFont="1" applyFill="1" applyBorder="1" applyAlignment="1" applyProtection="1"/>
    <xf numFmtId="0" fontId="44" fillId="5" borderId="0" xfId="0" applyFont="1" applyFill="1" applyBorder="1" applyAlignment="1">
      <alignment horizontal="center" vertical="top" wrapText="1"/>
    </xf>
    <xf numFmtId="0" fontId="16" fillId="5" borderId="0" xfId="0" applyFont="1" applyFill="1" applyBorder="1" applyAlignment="1">
      <alignment horizontal="left"/>
    </xf>
    <xf numFmtId="0" fontId="16" fillId="5" borderId="0" xfId="0" applyFont="1" applyFill="1" applyAlignment="1" applyProtection="1">
      <alignment horizontal="left"/>
    </xf>
    <xf numFmtId="0" fontId="4" fillId="5" borderId="0" xfId="0" applyFont="1" applyFill="1" applyBorder="1" applyAlignment="1">
      <alignment wrapText="1"/>
    </xf>
    <xf numFmtId="0" fontId="49" fillId="0" borderId="31" xfId="0" applyFont="1" applyFill="1" applyBorder="1" applyAlignment="1" applyProtection="1">
      <alignment horizontal="center"/>
    </xf>
    <xf numFmtId="2" fontId="14" fillId="5" borderId="3" xfId="0" applyNumberFormat="1" applyFont="1" applyFill="1" applyBorder="1" applyAlignment="1" applyProtection="1">
      <alignment horizontal="center" vertical="center" shrinkToFit="1"/>
    </xf>
    <xf numFmtId="2" fontId="14" fillId="5" borderId="34" xfId="0" applyNumberFormat="1" applyFont="1" applyFill="1" applyBorder="1" applyAlignment="1" applyProtection="1">
      <alignment horizontal="center" vertical="center" shrinkToFit="1"/>
    </xf>
    <xf numFmtId="2" fontId="14" fillId="5" borderId="7" xfId="0" applyNumberFormat="1" applyFont="1" applyFill="1" applyBorder="1" applyAlignment="1" applyProtection="1">
      <alignment horizontal="center" vertical="center" shrinkToFit="1"/>
    </xf>
    <xf numFmtId="0" fontId="13" fillId="5" borderId="0" xfId="0" applyFont="1" applyFill="1" applyBorder="1" applyAlignment="1" applyProtection="1">
      <alignment horizontal="left" vertical="top"/>
    </xf>
    <xf numFmtId="0" fontId="0" fillId="5" borderId="0" xfId="0" applyFill="1" applyBorder="1" applyAlignment="1" applyProtection="1">
      <alignment horizontal="left"/>
    </xf>
    <xf numFmtId="0" fontId="13" fillId="5" borderId="0" xfId="0" applyFont="1" applyFill="1" applyBorder="1" applyAlignment="1" applyProtection="1">
      <alignment horizontal="left"/>
    </xf>
    <xf numFmtId="2" fontId="14" fillId="5" borderId="18" xfId="0" applyNumberFormat="1" applyFont="1" applyFill="1" applyBorder="1" applyAlignment="1" applyProtection="1">
      <alignment horizontal="center" vertical="center" shrinkToFit="1"/>
    </xf>
    <xf numFmtId="2" fontId="14" fillId="5" borderId="19" xfId="0" applyNumberFormat="1" applyFont="1" applyFill="1" applyBorder="1" applyAlignment="1" applyProtection="1">
      <alignment horizontal="center" vertical="center" shrinkToFit="1"/>
    </xf>
    <xf numFmtId="2" fontId="14" fillId="5" borderId="20" xfId="0" applyNumberFormat="1" applyFont="1" applyFill="1" applyBorder="1" applyAlignment="1" applyProtection="1">
      <alignment horizontal="center" vertical="center" shrinkToFit="1"/>
    </xf>
    <xf numFmtId="0" fontId="0" fillId="5" borderId="0" xfId="0" applyNumberFormat="1" applyFill="1" applyBorder="1" applyAlignment="1" applyProtection="1">
      <alignment horizontal="left"/>
    </xf>
    <xf numFmtId="2" fontId="0" fillId="5" borderId="0" xfId="0" applyNumberFormat="1" applyFill="1" applyBorder="1" applyAlignment="1" applyProtection="1">
      <alignment horizontal="left"/>
    </xf>
    <xf numFmtId="0" fontId="0" fillId="5" borderId="0" xfId="0" applyFill="1" applyBorder="1" applyAlignment="1" applyProtection="1">
      <alignment horizontal="center"/>
    </xf>
    <xf numFmtId="2" fontId="14" fillId="5" borderId="38" xfId="0" applyNumberFormat="1" applyFont="1" applyFill="1" applyBorder="1" applyAlignment="1" applyProtection="1">
      <alignment horizontal="center" vertical="center" wrapText="1"/>
      <protection locked="0"/>
    </xf>
    <xf numFmtId="2" fontId="14" fillId="5" borderId="39" xfId="0" applyNumberFormat="1" applyFont="1" applyFill="1" applyBorder="1" applyAlignment="1" applyProtection="1">
      <alignment horizontal="center" vertical="center" wrapText="1"/>
      <protection locked="0"/>
    </xf>
    <xf numFmtId="2" fontId="14" fillId="5" borderId="40" xfId="0" applyNumberFormat="1" applyFont="1" applyFill="1" applyBorder="1" applyAlignment="1" applyProtection="1">
      <alignment horizontal="center" vertical="center" wrapText="1"/>
      <protection locked="0"/>
    </xf>
    <xf numFmtId="2" fontId="14" fillId="5" borderId="41" xfId="0" applyNumberFormat="1" applyFont="1" applyFill="1" applyBorder="1" applyAlignment="1" applyProtection="1">
      <alignment horizontal="center" vertical="center" wrapText="1"/>
      <protection locked="0"/>
    </xf>
    <xf numFmtId="2" fontId="14" fillId="5" borderId="42" xfId="0" applyNumberFormat="1" applyFont="1" applyFill="1" applyBorder="1" applyAlignment="1" applyProtection="1">
      <alignment horizontal="center" vertical="center" wrapText="1"/>
      <protection locked="0"/>
    </xf>
    <xf numFmtId="2" fontId="14" fillId="5" borderId="43" xfId="0" applyNumberFormat="1" applyFont="1" applyFill="1" applyBorder="1" applyAlignment="1" applyProtection="1">
      <alignment horizontal="center" vertical="center" wrapText="1"/>
      <protection locked="0"/>
    </xf>
    <xf numFmtId="165" fontId="15" fillId="5" borderId="29" xfId="0" applyNumberFormat="1" applyFont="1" applyFill="1" applyBorder="1" applyAlignment="1">
      <alignment horizontal="left" vertical="center" wrapText="1"/>
    </xf>
    <xf numFmtId="165" fontId="15" fillId="5" borderId="17" xfId="0" applyNumberFormat="1" applyFont="1" applyFill="1" applyBorder="1" applyAlignment="1">
      <alignment horizontal="left" vertical="center" wrapText="1"/>
    </xf>
    <xf numFmtId="0" fontId="44" fillId="5" borderId="0" xfId="0" applyFont="1" applyFill="1" applyBorder="1" applyAlignment="1">
      <alignment horizontal="center" vertical="top" wrapText="1"/>
    </xf>
    <xf numFmtId="0" fontId="16" fillId="5" borderId="0" xfId="0" applyFont="1" applyFill="1" applyBorder="1" applyAlignment="1">
      <alignment horizontal="left"/>
    </xf>
    <xf numFmtId="0" fontId="3" fillId="5" borderId="0" xfId="0" applyFont="1" applyFill="1" applyBorder="1" applyAlignment="1">
      <alignment horizontal="center"/>
    </xf>
    <xf numFmtId="2" fontId="5" fillId="5" borderId="2" xfId="0" applyNumberFormat="1" applyFont="1" applyFill="1" applyBorder="1" applyAlignment="1" applyProtection="1">
      <alignment shrinkToFit="1"/>
      <protection locked="0"/>
    </xf>
    <xf numFmtId="0" fontId="26" fillId="0" borderId="0" xfId="0" applyFont="1" applyAlignment="1">
      <alignment vertical="top"/>
    </xf>
    <xf numFmtId="0" fontId="26" fillId="0" borderId="0" xfId="0" applyFont="1" applyAlignment="1">
      <alignment vertical="center"/>
    </xf>
    <xf numFmtId="0" fontId="0" fillId="0" borderId="0" xfId="0" applyAlignment="1">
      <alignment horizontal="right"/>
    </xf>
    <xf numFmtId="167" fontId="0" fillId="0" borderId="0" xfId="0" applyNumberFormat="1"/>
    <xf numFmtId="0" fontId="52" fillId="0" borderId="0" xfId="0" applyNumberFormat="1" applyFont="1" applyFill="1" applyAlignment="1" applyProtection="1">
      <alignment wrapText="1"/>
    </xf>
    <xf numFmtId="0" fontId="52" fillId="0" borderId="0" xfId="0" applyNumberFormat="1" applyFont="1" applyFill="1" applyAlignment="1" applyProtection="1"/>
    <xf numFmtId="0" fontId="0" fillId="0" borderId="0" xfId="0" applyNumberFormat="1"/>
    <xf numFmtId="0" fontId="0" fillId="0" borderId="0" xfId="0" applyNumberFormat="1" applyFont="1"/>
    <xf numFmtId="0" fontId="0" fillId="0" borderId="0" xfId="0" applyFill="1" applyBorder="1" applyAlignment="1">
      <alignment horizontal="left"/>
    </xf>
    <xf numFmtId="0" fontId="0" fillId="0" borderId="0" xfId="0" applyFill="1" applyBorder="1" applyAlignment="1">
      <alignment horizontal="center"/>
    </xf>
    <xf numFmtId="0" fontId="0" fillId="0" borderId="0" xfId="0" applyNumberFormat="1" applyFill="1" applyBorder="1" applyAlignment="1">
      <alignment horizontal="left"/>
    </xf>
    <xf numFmtId="2" fontId="14" fillId="0" borderId="0" xfId="0" applyNumberFormat="1" applyFont="1" applyFill="1" applyBorder="1" applyAlignment="1" applyProtection="1">
      <alignment horizontal="center" vertical="center" wrapText="1"/>
      <protection locked="0"/>
    </xf>
    <xf numFmtId="165" fontId="15" fillId="0" borderId="0" xfId="0" applyNumberFormat="1" applyFont="1" applyFill="1" applyBorder="1" applyAlignment="1">
      <alignment horizontal="left" vertical="center" wrapText="1"/>
    </xf>
    <xf numFmtId="0" fontId="18" fillId="0" borderId="0" xfId="0" applyFont="1" applyFill="1" applyBorder="1" applyAlignment="1">
      <alignment wrapText="1"/>
    </xf>
    <xf numFmtId="2" fontId="0" fillId="0" borderId="0" xfId="0" applyNumberFormat="1" applyFill="1" applyBorder="1" applyAlignment="1">
      <alignment horizontal="left"/>
    </xf>
    <xf numFmtId="2" fontId="14" fillId="0" borderId="0" xfId="0" applyNumberFormat="1" applyFont="1" applyFill="1" applyBorder="1" applyAlignment="1" applyProtection="1">
      <alignment horizontal="center" vertical="center" shrinkToFit="1"/>
    </xf>
    <xf numFmtId="0" fontId="0" fillId="0" borderId="0" xfId="0" applyNumberFormat="1" applyFill="1" applyBorder="1" applyAlignment="1">
      <alignment horizontal="center"/>
    </xf>
    <xf numFmtId="165" fontId="15" fillId="0" borderId="0" xfId="0" applyNumberFormat="1" applyFont="1" applyFill="1" applyBorder="1" applyAlignment="1" applyProtection="1">
      <alignment horizontal="left" vertical="center" wrapText="1"/>
    </xf>
    <xf numFmtId="0" fontId="35" fillId="0" borderId="0" xfId="0" applyFont="1" applyFill="1" applyBorder="1"/>
    <xf numFmtId="0" fontId="0" fillId="0" borderId="0" xfId="0" applyAlignment="1">
      <alignment vertical="top"/>
    </xf>
    <xf numFmtId="0" fontId="25" fillId="0" borderId="0" xfId="0" applyFont="1" applyAlignment="1">
      <alignment vertical="top"/>
    </xf>
    <xf numFmtId="0" fontId="0" fillId="0" borderId="0" xfId="0" applyFont="1" applyAlignment="1">
      <alignment horizontal="right"/>
    </xf>
    <xf numFmtId="0" fontId="0" fillId="0" borderId="0" xfId="0" applyFont="1"/>
    <xf numFmtId="165" fontId="15" fillId="5" borderId="27" xfId="0" applyNumberFormat="1" applyFont="1" applyFill="1" applyBorder="1" applyAlignment="1">
      <alignment horizontal="left" vertical="center" wrapText="1"/>
    </xf>
    <xf numFmtId="165" fontId="15" fillId="5" borderId="44" xfId="0" applyNumberFormat="1" applyFont="1" applyFill="1" applyBorder="1" applyAlignment="1">
      <alignment horizontal="left" vertical="center" wrapText="1"/>
    </xf>
    <xf numFmtId="0" fontId="16" fillId="18" borderId="31" xfId="0" applyFont="1" applyFill="1" applyBorder="1"/>
    <xf numFmtId="0" fontId="16" fillId="5" borderId="0" xfId="0" applyFont="1" applyFill="1" applyBorder="1" applyAlignment="1" applyProtection="1">
      <alignment horizontal="left"/>
    </xf>
    <xf numFmtId="0" fontId="26" fillId="5" borderId="0" xfId="0" applyFont="1" applyFill="1" applyAlignment="1" applyProtection="1">
      <alignment horizontal="left" vertical="top" wrapText="1"/>
    </xf>
    <xf numFmtId="0" fontId="49" fillId="0" borderId="0" xfId="0" applyFont="1" applyFill="1" applyBorder="1" applyAlignment="1" applyProtection="1">
      <alignment horizontal="center"/>
    </xf>
    <xf numFmtId="2" fontId="16" fillId="19" borderId="31" xfId="0" applyNumberFormat="1" applyFont="1" applyFill="1" applyBorder="1" applyProtection="1"/>
    <xf numFmtId="14" fontId="26" fillId="0" borderId="0" xfId="0" applyNumberFormat="1" applyFont="1" applyAlignment="1">
      <alignment vertical="top"/>
    </xf>
    <xf numFmtId="0" fontId="0" fillId="6" borderId="0" xfId="0" applyNumberFormat="1" applyFill="1" applyAlignment="1">
      <alignment horizontal="center"/>
    </xf>
    <xf numFmtId="0" fontId="0" fillId="6" borderId="0" xfId="0" applyFill="1" applyAlignment="1">
      <alignment horizontal="center"/>
    </xf>
    <xf numFmtId="0" fontId="0" fillId="6" borderId="0" xfId="0" applyFill="1" applyAlignment="1"/>
    <xf numFmtId="0" fontId="51" fillId="0" borderId="0" xfId="0" applyFont="1" applyBorder="1" applyAlignment="1">
      <alignment vertical="center" wrapText="1"/>
    </xf>
    <xf numFmtId="0" fontId="26" fillId="0" borderId="0" xfId="0" applyFont="1" applyAlignment="1">
      <alignment horizontal="left" vertical="top"/>
    </xf>
    <xf numFmtId="0" fontId="26" fillId="5" borderId="0" xfId="0" applyFont="1" applyFill="1" applyAlignment="1" applyProtection="1">
      <alignment horizontal="right" vertical="top" wrapText="1"/>
    </xf>
    <xf numFmtId="0" fontId="29" fillId="0" borderId="0" xfId="0" applyFont="1" applyAlignment="1">
      <alignment horizontal="center" vertical="top" wrapText="1"/>
    </xf>
    <xf numFmtId="49" fontId="0" fillId="0" borderId="0" xfId="0" applyNumberFormat="1" applyFill="1" applyAlignment="1" applyProtection="1"/>
    <xf numFmtId="0" fontId="26" fillId="5" borderId="0" xfId="0" applyFont="1" applyFill="1" applyAlignment="1" applyProtection="1">
      <alignment horizontal="left" vertical="top" wrapText="1"/>
    </xf>
    <xf numFmtId="0" fontId="25" fillId="5" borderId="0" xfId="0" applyFont="1" applyFill="1" applyBorder="1" applyAlignment="1" applyProtection="1">
      <alignment horizontal="center" vertical="center"/>
    </xf>
    <xf numFmtId="0" fontId="16" fillId="5" borderId="29" xfId="0" applyFont="1" applyFill="1" applyBorder="1" applyAlignment="1" applyProtection="1">
      <alignment horizontal="left"/>
    </xf>
    <xf numFmtId="0" fontId="16" fillId="5" borderId="0" xfId="0" applyFont="1" applyFill="1" applyBorder="1" applyAlignment="1" applyProtection="1">
      <alignment horizontal="left"/>
    </xf>
    <xf numFmtId="0" fontId="28" fillId="5" borderId="0" xfId="0" applyFont="1" applyFill="1" applyAlignment="1" applyProtection="1">
      <alignment horizontal="center"/>
    </xf>
    <xf numFmtId="0" fontId="51" fillId="0" borderId="0" xfId="0" applyFont="1" applyBorder="1" applyAlignment="1">
      <alignment horizontal="center" vertical="center" wrapText="1"/>
    </xf>
    <xf numFmtId="0" fontId="57" fillId="5" borderId="0" xfId="0" applyFont="1" applyFill="1" applyBorder="1" applyAlignment="1">
      <alignment horizontal="left" wrapText="1" shrinkToFit="1"/>
    </xf>
    <xf numFmtId="0" fontId="50" fillId="5" borderId="0" xfId="0" applyFont="1" applyFill="1" applyBorder="1" applyAlignment="1">
      <alignment horizontal="left" wrapText="1" shrinkToFit="1"/>
    </xf>
    <xf numFmtId="2" fontId="8" fillId="5" borderId="0" xfId="0" applyNumberFormat="1" applyFont="1" applyFill="1" applyBorder="1" applyAlignment="1">
      <alignment horizontal="center"/>
    </xf>
    <xf numFmtId="2" fontId="8" fillId="5" borderId="15" xfId="0" applyNumberFormat="1" applyFont="1" applyFill="1" applyBorder="1" applyAlignment="1">
      <alignment horizontal="center"/>
    </xf>
    <xf numFmtId="0" fontId="0" fillId="5" borderId="0" xfId="0" applyFill="1" applyAlignment="1" applyProtection="1">
      <alignment horizontal="center"/>
      <protection locked="0"/>
    </xf>
    <xf numFmtId="0" fontId="0" fillId="5" borderId="1" xfId="0"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22" fillId="5" borderId="8"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wrapText="1"/>
    </xf>
    <xf numFmtId="164" fontId="16" fillId="5" borderId="1" xfId="0" applyNumberFormat="1" applyFont="1" applyFill="1" applyBorder="1" applyAlignment="1" applyProtection="1">
      <alignment horizontal="center"/>
      <protection locked="0"/>
    </xf>
    <xf numFmtId="164" fontId="16" fillId="5" borderId="2" xfId="0" applyNumberFormat="1" applyFont="1" applyFill="1" applyBorder="1" applyAlignment="1" applyProtection="1">
      <alignment horizontal="center"/>
      <protection locked="0"/>
    </xf>
    <xf numFmtId="0" fontId="44" fillId="5" borderId="4" xfId="0" applyFont="1" applyFill="1" applyBorder="1" applyAlignment="1">
      <alignment horizontal="center" vertical="top" wrapText="1"/>
    </xf>
    <xf numFmtId="0" fontId="44" fillId="5" borderId="0" xfId="0" applyFont="1" applyFill="1" applyBorder="1" applyAlignment="1">
      <alignment horizontal="center" vertical="top" wrapText="1"/>
    </xf>
    <xf numFmtId="0" fontId="18" fillId="5" borderId="33" xfId="0" applyFont="1" applyFill="1" applyBorder="1" applyAlignment="1">
      <alignment horizontal="center" vertical="top" wrapText="1"/>
    </xf>
    <xf numFmtId="0" fontId="18" fillId="5" borderId="28" xfId="0" applyFont="1" applyFill="1" applyBorder="1" applyAlignment="1">
      <alignment horizontal="center" vertical="top" wrapText="1"/>
    </xf>
    <xf numFmtId="0" fontId="3" fillId="5" borderId="29" xfId="0" applyFont="1" applyFill="1" applyBorder="1" applyAlignment="1">
      <alignment horizontal="center"/>
    </xf>
    <xf numFmtId="0" fontId="3" fillId="5" borderId="15" xfId="0" applyFont="1" applyFill="1" applyBorder="1" applyAlignment="1">
      <alignment horizontal="center"/>
    </xf>
    <xf numFmtId="0" fontId="9" fillId="5" borderId="0" xfId="0" applyFont="1" applyFill="1" applyAlignment="1">
      <alignment horizontal="left"/>
    </xf>
    <xf numFmtId="0" fontId="12" fillId="2" borderId="25" xfId="0" applyFont="1" applyFill="1" applyBorder="1" applyAlignment="1">
      <alignment horizontal="center" vertical="center" textRotation="255"/>
    </xf>
    <xf numFmtId="0" fontId="12" fillId="2" borderId="26"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36" fillId="5" borderId="0" xfId="0" applyFont="1" applyFill="1" applyBorder="1" applyAlignment="1">
      <alignment horizontal="center" vertical="top" wrapText="1"/>
    </xf>
    <xf numFmtId="0" fontId="18" fillId="5" borderId="0" xfId="0" applyFont="1" applyFill="1" applyBorder="1" applyAlignment="1">
      <alignment horizontal="right" vertical="center" wrapText="1"/>
    </xf>
    <xf numFmtId="0" fontId="18" fillId="5" borderId="14" xfId="0" applyFont="1" applyFill="1" applyBorder="1" applyAlignment="1">
      <alignment horizontal="right" vertical="center" wrapText="1"/>
    </xf>
    <xf numFmtId="2" fontId="3" fillId="9" borderId="19" xfId="0" applyNumberFormat="1" applyFont="1" applyFill="1" applyBorder="1" applyAlignment="1">
      <alignment horizontal="center" vertical="center"/>
    </xf>
    <xf numFmtId="2" fontId="3" fillId="9" borderId="16" xfId="0" applyNumberFormat="1" applyFont="1" applyFill="1" applyBorder="1" applyAlignment="1">
      <alignment horizontal="center" vertical="center"/>
    </xf>
    <xf numFmtId="2" fontId="3" fillId="9" borderId="27" xfId="0" applyNumberFormat="1" applyFont="1" applyFill="1" applyBorder="1" applyAlignment="1">
      <alignment horizontal="center" vertical="center"/>
    </xf>
    <xf numFmtId="2" fontId="3" fillId="9" borderId="10" xfId="0" applyNumberFormat="1" applyFont="1" applyFill="1" applyBorder="1" applyAlignment="1">
      <alignment horizontal="center" vertical="center"/>
    </xf>
    <xf numFmtId="0" fontId="45" fillId="5" borderId="29" xfId="0" applyFont="1" applyFill="1" applyBorder="1" applyAlignment="1">
      <alignment horizontal="left" vertical="center"/>
    </xf>
    <xf numFmtId="2" fontId="27" fillId="5" borderId="1" xfId="0" applyNumberFormat="1" applyFont="1" applyFill="1" applyBorder="1" applyAlignment="1">
      <alignment horizontal="center" shrinkToFit="1"/>
    </xf>
    <xf numFmtId="0" fontId="34" fillId="5" borderId="1" xfId="0" applyFont="1" applyFill="1" applyBorder="1" applyAlignment="1" applyProtection="1">
      <alignment horizontal="center" shrinkToFit="1"/>
      <protection locked="0"/>
    </xf>
    <xf numFmtId="0" fontId="12" fillId="2" borderId="30" xfId="0" applyFont="1" applyFill="1" applyBorder="1" applyAlignment="1">
      <alignment horizontal="center" vertical="center" textRotation="255"/>
    </xf>
    <xf numFmtId="0" fontId="34" fillId="5" borderId="0" xfId="0" applyFont="1" applyFill="1" applyAlignment="1">
      <alignment horizontal="center"/>
    </xf>
    <xf numFmtId="0" fontId="10" fillId="5" borderId="0" xfId="0" applyFont="1" applyFill="1" applyBorder="1" applyAlignment="1">
      <alignment horizontal="right" wrapText="1"/>
    </xf>
    <xf numFmtId="0" fontId="12" fillId="2" borderId="6"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23"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21" xfId="0" applyFont="1" applyFill="1" applyBorder="1" applyAlignment="1">
      <alignment horizontal="center" vertical="center" textRotation="255"/>
    </xf>
    <xf numFmtId="0" fontId="17" fillId="5" borderId="0" xfId="0" applyFont="1" applyFill="1" applyBorder="1" applyAlignment="1">
      <alignment horizontal="left"/>
    </xf>
    <xf numFmtId="0" fontId="16" fillId="5" borderId="29" xfId="0" applyFont="1" applyFill="1" applyBorder="1" applyAlignment="1">
      <alignment horizontal="left"/>
    </xf>
    <xf numFmtId="0" fontId="16" fillId="5" borderId="0" xfId="0" applyFont="1" applyFill="1" applyBorder="1" applyAlignment="1">
      <alignment horizontal="left"/>
    </xf>
    <xf numFmtId="0" fontId="21" fillId="5" borderId="3" xfId="0" applyFont="1" applyFill="1" applyBorder="1" applyAlignment="1">
      <alignment horizontal="center"/>
    </xf>
    <xf numFmtId="0" fontId="21" fillId="5" borderId="4" xfId="0" applyFont="1" applyFill="1" applyBorder="1" applyAlignment="1">
      <alignment horizontal="center"/>
    </xf>
    <xf numFmtId="0" fontId="21" fillId="5" borderId="5" xfId="0" applyFont="1" applyFill="1" applyBorder="1" applyAlignment="1">
      <alignment horizontal="center"/>
    </xf>
    <xf numFmtId="0" fontId="12" fillId="2" borderId="6"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23" xfId="0" applyFont="1" applyFill="1" applyBorder="1" applyAlignment="1">
      <alignment vertical="center" textRotation="255"/>
    </xf>
    <xf numFmtId="0" fontId="19" fillId="5" borderId="0" xfId="0" applyFont="1" applyFill="1" applyBorder="1" applyAlignment="1">
      <alignment horizontal="left" wrapText="1"/>
    </xf>
    <xf numFmtId="0" fontId="6" fillId="5" borderId="21" xfId="0" applyFont="1" applyFill="1" applyBorder="1" applyAlignment="1">
      <alignment horizontal="center" vertical="top" wrapText="1"/>
    </xf>
    <xf numFmtId="0" fontId="6" fillId="5" borderId="32" xfId="0" applyFont="1" applyFill="1" applyBorder="1" applyAlignment="1">
      <alignment horizontal="center" vertical="top" wrapText="1"/>
    </xf>
    <xf numFmtId="2" fontId="42" fillId="5" borderId="0" xfId="0" applyNumberFormat="1" applyFont="1" applyFill="1" applyBorder="1" applyAlignment="1">
      <alignment horizontal="center" vertical="center"/>
    </xf>
    <xf numFmtId="2" fontId="42" fillId="5" borderId="14" xfId="0" applyNumberFormat="1" applyFont="1" applyFill="1" applyBorder="1" applyAlignment="1">
      <alignment horizontal="center" vertical="center"/>
    </xf>
    <xf numFmtId="0" fontId="40" fillId="5" borderId="3" xfId="0" applyFont="1" applyFill="1" applyBorder="1" applyAlignment="1">
      <alignment horizontal="center"/>
    </xf>
    <xf numFmtId="0" fontId="40" fillId="5" borderId="4" xfId="0" applyFont="1" applyFill="1" applyBorder="1" applyAlignment="1">
      <alignment horizontal="center"/>
    </xf>
    <xf numFmtId="0" fontId="40" fillId="5" borderId="5" xfId="0" applyFont="1" applyFill="1" applyBorder="1" applyAlignment="1">
      <alignment horizontal="center"/>
    </xf>
    <xf numFmtId="2" fontId="43" fillId="9" borderId="8" xfId="0" applyNumberFormat="1" applyFont="1" applyFill="1" applyBorder="1" applyAlignment="1" applyProtection="1">
      <alignment horizontal="center" vertical="center"/>
      <protection locked="0"/>
    </xf>
    <xf numFmtId="2" fontId="43" fillId="9" borderId="0" xfId="0" applyNumberFormat="1" applyFont="1" applyFill="1" applyBorder="1" applyAlignment="1" applyProtection="1">
      <alignment horizontal="center" vertical="center"/>
      <protection locked="0"/>
    </xf>
    <xf numFmtId="2" fontId="41" fillId="5" borderId="19" xfId="0" applyNumberFormat="1" applyFont="1" applyFill="1" applyBorder="1" applyAlignment="1">
      <alignment horizontal="center"/>
    </xf>
    <xf numFmtId="2" fontId="41" fillId="5" borderId="13" xfId="0" applyNumberFormat="1" applyFont="1" applyFill="1" applyBorder="1" applyAlignment="1">
      <alignment horizontal="center"/>
    </xf>
    <xf numFmtId="0" fontId="3" fillId="5" borderId="32" xfId="0" applyFont="1" applyFill="1" applyBorder="1" applyAlignment="1">
      <alignment horizontal="center"/>
    </xf>
    <xf numFmtId="0" fontId="3" fillId="5" borderId="24" xfId="0" applyFont="1" applyFill="1" applyBorder="1" applyAlignment="1">
      <alignment horizontal="center"/>
    </xf>
    <xf numFmtId="0" fontId="4" fillId="5" borderId="0" xfId="0" applyFont="1" applyFill="1" applyBorder="1" applyAlignment="1">
      <alignment horizontal="right"/>
    </xf>
    <xf numFmtId="14" fontId="5" fillId="5" borderId="0" xfId="0" applyNumberFormat="1" applyFont="1" applyFill="1" applyBorder="1" applyAlignment="1" applyProtection="1">
      <alignment horizontal="center"/>
    </xf>
    <xf numFmtId="0" fontId="5" fillId="5" borderId="1" xfId="0" applyFont="1" applyFill="1" applyBorder="1" applyAlignment="1" applyProtection="1">
      <alignment horizontal="left" shrinkToFit="1"/>
      <protection locked="0"/>
    </xf>
    <xf numFmtId="0" fontId="4" fillId="5" borderId="12" xfId="0" applyFont="1" applyFill="1" applyBorder="1" applyAlignment="1" applyProtection="1">
      <alignment horizontal="right" wrapText="1"/>
    </xf>
    <xf numFmtId="1" fontId="5" fillId="5" borderId="1" xfId="0" applyNumberFormat="1" applyFont="1" applyFill="1" applyBorder="1" applyAlignment="1" applyProtection="1">
      <alignment horizontal="center" shrinkToFit="1"/>
      <protection locked="0"/>
    </xf>
    <xf numFmtId="0" fontId="38" fillId="5" borderId="0" xfId="0" applyFont="1" applyFill="1" applyBorder="1" applyAlignment="1">
      <alignment horizontal="right" wrapText="1"/>
    </xf>
    <xf numFmtId="0" fontId="12" fillId="2" borderId="3"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21" xfId="0" applyFont="1" applyFill="1" applyBorder="1" applyAlignment="1">
      <alignment vertical="center" textRotation="255"/>
    </xf>
    <xf numFmtId="0" fontId="0" fillId="5" borderId="35" xfId="0" applyFill="1" applyBorder="1" applyAlignment="1">
      <alignment horizontal="center" vertical="center" wrapText="1"/>
    </xf>
    <xf numFmtId="14" fontId="5" fillId="5" borderId="0" xfId="0" applyNumberFormat="1" applyFont="1" applyFill="1" applyBorder="1" applyAlignment="1" applyProtection="1">
      <alignment horizontal="center"/>
      <protection locked="0"/>
    </xf>
    <xf numFmtId="0" fontId="5" fillId="5" borderId="2" xfId="0" applyFont="1" applyFill="1" applyBorder="1" applyAlignment="1" applyProtection="1">
      <alignment horizontal="left" shrinkToFit="1"/>
      <protection locked="0"/>
    </xf>
    <xf numFmtId="0" fontId="3" fillId="5" borderId="0" xfId="0" applyFont="1" applyFill="1" applyBorder="1" applyAlignment="1">
      <alignment horizontal="center"/>
    </xf>
    <xf numFmtId="0" fontId="18" fillId="5" borderId="0" xfId="0" applyFont="1" applyFill="1" applyBorder="1" applyAlignment="1">
      <alignment horizontal="center" vertical="top" wrapText="1"/>
    </xf>
    <xf numFmtId="0" fontId="34" fillId="5" borderId="0" xfId="0" applyFont="1" applyFill="1" applyAlignment="1" applyProtection="1">
      <alignment horizontal="right"/>
    </xf>
    <xf numFmtId="14" fontId="34" fillId="5" borderId="1" xfId="0" applyNumberFormat="1" applyFont="1" applyFill="1" applyBorder="1" applyAlignment="1" applyProtection="1">
      <alignment horizontal="center"/>
    </xf>
    <xf numFmtId="0" fontId="16" fillId="5" borderId="0" xfId="0" applyFont="1" applyFill="1" applyAlignment="1" applyProtection="1">
      <alignment horizontal="left"/>
    </xf>
    <xf numFmtId="0" fontId="24" fillId="5" borderId="0" xfId="0" applyFont="1" applyFill="1" applyAlignment="1" applyProtection="1">
      <alignment horizontal="center"/>
    </xf>
    <xf numFmtId="2" fontId="34" fillId="5" borderId="1" xfId="0" applyNumberFormat="1" applyFont="1" applyFill="1" applyBorder="1" applyAlignment="1" applyProtection="1">
      <alignment horizontal="center"/>
    </xf>
    <xf numFmtId="2" fontId="34" fillId="5" borderId="2" xfId="0" applyNumberFormat="1" applyFont="1" applyFill="1" applyBorder="1" applyAlignment="1" applyProtection="1">
      <alignment horizontal="center"/>
    </xf>
    <xf numFmtId="0" fontId="12" fillId="2" borderId="3"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12" fillId="2" borderId="21" xfId="0" applyFont="1" applyFill="1" applyBorder="1" applyAlignment="1" applyProtection="1">
      <alignment horizontal="center" vertical="center" textRotation="255"/>
    </xf>
    <xf numFmtId="0" fontId="12" fillId="2" borderId="6"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23" xfId="0" applyFont="1" applyFill="1" applyBorder="1" applyAlignment="1" applyProtection="1">
      <alignment horizontal="center" vertical="center" textRotation="255"/>
    </xf>
    <xf numFmtId="0" fontId="12" fillId="2" borderId="25" xfId="0" applyFont="1" applyFill="1" applyBorder="1" applyAlignment="1" applyProtection="1">
      <alignment horizontal="center" vertical="center" textRotation="255"/>
    </xf>
    <xf numFmtId="0" fontId="12" fillId="2" borderId="26"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12" fillId="0" borderId="0" xfId="0" applyFont="1" applyFill="1" applyBorder="1" applyAlignment="1" applyProtection="1">
      <alignment horizontal="center" vertical="center" textRotation="255"/>
    </xf>
    <xf numFmtId="0" fontId="40" fillId="5" borderId="0" xfId="0" applyFont="1" applyFill="1" applyBorder="1" applyAlignment="1">
      <alignment horizontal="center"/>
    </xf>
    <xf numFmtId="2" fontId="43" fillId="5" borderId="0" xfId="0" applyNumberFormat="1" applyFont="1" applyFill="1" applyBorder="1" applyAlignment="1" applyProtection="1">
      <alignment horizontal="center" vertical="center"/>
    </xf>
    <xf numFmtId="2" fontId="41" fillId="5" borderId="0" xfId="0" applyNumberFormat="1" applyFont="1" applyFill="1" applyBorder="1" applyAlignment="1">
      <alignment horizontal="center"/>
    </xf>
    <xf numFmtId="0" fontId="3" fillId="5" borderId="0" xfId="0" applyFont="1" applyFill="1" applyAlignment="1" applyProtection="1">
      <alignment horizontal="right"/>
    </xf>
    <xf numFmtId="0" fontId="5" fillId="5" borderId="1" xfId="0" applyFont="1" applyFill="1" applyBorder="1" applyAlignment="1" applyProtection="1">
      <alignment horizontal="left"/>
    </xf>
    <xf numFmtId="0" fontId="5" fillId="5" borderId="2" xfId="0" applyFont="1" applyFill="1" applyBorder="1" applyAlignment="1" applyProtection="1">
      <alignment horizontal="left"/>
    </xf>
    <xf numFmtId="0" fontId="31" fillId="5" borderId="0" xfId="0" applyFont="1" applyFill="1" applyBorder="1" applyAlignment="1" applyProtection="1">
      <alignment horizontal="center" wrapText="1"/>
    </xf>
    <xf numFmtId="0" fontId="21" fillId="5" borderId="3" xfId="0" applyFont="1" applyFill="1" applyBorder="1" applyAlignment="1" applyProtection="1">
      <alignment horizontal="center"/>
    </xf>
    <xf numFmtId="0" fontId="21" fillId="5" borderId="4" xfId="0" applyFont="1" applyFill="1" applyBorder="1" applyAlignment="1" applyProtection="1">
      <alignment horizontal="center"/>
    </xf>
    <xf numFmtId="0" fontId="21" fillId="5" borderId="5" xfId="0" applyFont="1" applyFill="1" applyBorder="1" applyAlignment="1" applyProtection="1">
      <alignment horizontal="center"/>
    </xf>
    <xf numFmtId="0" fontId="22" fillId="5" borderId="8" xfId="0"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22" fillId="5" borderId="15" xfId="0" applyFont="1" applyFill="1" applyBorder="1" applyAlignment="1" applyProtection="1">
      <alignment horizontal="center" vertical="center" wrapText="1"/>
    </xf>
    <xf numFmtId="164" fontId="16" fillId="12" borderId="1" xfId="0" applyNumberFormat="1" applyFont="1" applyFill="1" applyBorder="1" applyAlignment="1" applyProtection="1">
      <alignment horizontal="center"/>
    </xf>
    <xf numFmtId="164" fontId="16" fillId="13" borderId="1" xfId="0" applyNumberFormat="1" applyFont="1" applyFill="1" applyBorder="1" applyAlignment="1" applyProtection="1">
      <alignment horizontal="center"/>
    </xf>
    <xf numFmtId="0" fontId="48" fillId="5" borderId="3" xfId="0" applyFont="1" applyFill="1" applyBorder="1" applyAlignment="1" applyProtection="1">
      <alignment horizontal="left" vertical="top" wrapText="1"/>
      <protection locked="0"/>
    </xf>
    <xf numFmtId="0" fontId="48" fillId="5" borderId="4" xfId="0" applyFont="1" applyFill="1" applyBorder="1" applyAlignment="1" applyProtection="1">
      <alignment horizontal="left" vertical="top" wrapText="1"/>
      <protection locked="0"/>
    </xf>
    <xf numFmtId="0" fontId="48" fillId="5" borderId="5" xfId="0" applyFont="1" applyFill="1" applyBorder="1" applyAlignment="1" applyProtection="1">
      <alignment horizontal="left" vertical="top" wrapText="1"/>
      <protection locked="0"/>
    </xf>
    <xf numFmtId="0" fontId="48" fillId="5" borderId="8" xfId="0" applyFont="1" applyFill="1" applyBorder="1" applyAlignment="1" applyProtection="1">
      <alignment horizontal="left" vertical="top" wrapText="1"/>
      <protection locked="0"/>
    </xf>
    <xf numFmtId="0" fontId="48" fillId="5" borderId="0" xfId="0" applyFont="1" applyFill="1" applyBorder="1" applyAlignment="1" applyProtection="1">
      <alignment horizontal="left" vertical="top" wrapText="1"/>
      <protection locked="0"/>
    </xf>
    <xf numFmtId="0" fontId="48" fillId="5" borderId="15" xfId="0" applyFont="1" applyFill="1" applyBorder="1" applyAlignment="1" applyProtection="1">
      <alignment horizontal="left" vertical="top" wrapText="1"/>
      <protection locked="0"/>
    </xf>
    <xf numFmtId="0" fontId="48" fillId="5" borderId="21" xfId="0" applyFont="1" applyFill="1" applyBorder="1" applyAlignment="1" applyProtection="1">
      <alignment horizontal="left" vertical="top" wrapText="1"/>
      <protection locked="0"/>
    </xf>
    <xf numFmtId="0" fontId="48" fillId="5" borderId="32" xfId="0" applyFont="1" applyFill="1" applyBorder="1" applyAlignment="1" applyProtection="1">
      <alignment horizontal="left" vertical="top" wrapText="1"/>
      <protection locked="0"/>
    </xf>
    <xf numFmtId="0" fontId="48" fillId="5" borderId="28" xfId="0" applyFont="1" applyFill="1" applyBorder="1" applyAlignment="1" applyProtection="1">
      <alignment horizontal="left" vertical="top" wrapText="1"/>
      <protection locked="0"/>
    </xf>
    <xf numFmtId="0" fontId="20" fillId="5" borderId="32" xfId="0" applyFont="1" applyFill="1" applyBorder="1" applyAlignment="1">
      <alignment horizontal="center" vertical="center" wrapText="1"/>
    </xf>
    <xf numFmtId="0" fontId="20" fillId="5" borderId="0" xfId="0" applyFont="1" applyFill="1" applyBorder="1" applyAlignment="1">
      <alignment horizontal="center" vertical="top" wrapText="1"/>
    </xf>
    <xf numFmtId="0" fontId="6" fillId="5" borderId="0" xfId="0" applyFont="1" applyFill="1" applyBorder="1" applyAlignment="1">
      <alignment horizontal="center" vertical="top" wrapText="1"/>
    </xf>
    <xf numFmtId="0" fontId="0" fillId="0" borderId="0" xfId="0" applyFill="1" applyAlignment="1">
      <alignment horizontal="center"/>
    </xf>
  </cellXfs>
  <cellStyles count="1">
    <cellStyle name="Normal" xfId="0" builtinId="0"/>
  </cellStyles>
  <dxfs count="3105">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0070C0"/>
        </patternFill>
      </fill>
    </dxf>
    <dxf>
      <fill>
        <patternFill>
          <bgColor rgb="FF00B050"/>
        </patternFill>
      </fill>
    </dxf>
    <dxf>
      <font>
        <color theme="9" tint="-0.24994659260841701"/>
      </font>
    </dxf>
    <dxf>
      <font>
        <color rgb="FFC00000"/>
      </font>
    </dxf>
    <dxf>
      <font>
        <color theme="9" tint="-0.24994659260841701"/>
      </font>
    </dxf>
    <dxf>
      <font>
        <color rgb="FFFF0000"/>
      </font>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theme="4"/>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bgColor rgb="FF0070C0"/>
        </patternFill>
      </fill>
    </dxf>
    <dxf>
      <fill>
        <patternFill>
          <bgColor rgb="FF00B050"/>
        </patternFill>
      </fill>
    </dxf>
    <dxf>
      <fill>
        <patternFill>
          <bgColor theme="4"/>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ont>
        <color theme="9" tint="-0.24994659260841701"/>
      </font>
    </dxf>
    <dxf>
      <font>
        <color rgb="FFFF0000"/>
      </font>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dxf>
    <dxf>
      <font>
        <color rgb="FF9C0006"/>
      </font>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theme="4"/>
        </patternFill>
      </fill>
    </dxf>
    <dxf>
      <fill>
        <patternFill>
          <bgColor rgb="FF0070C0"/>
        </patternFill>
      </fill>
    </dxf>
    <dxf>
      <fill>
        <patternFill>
          <bgColor rgb="FF00B050"/>
        </patternFill>
      </fill>
    </dxf>
    <dxf>
      <fill>
        <patternFill>
          <bgColor theme="4"/>
        </patternFill>
      </fill>
    </dxf>
    <dxf>
      <fill>
        <patternFill>
          <bgColor theme="4"/>
        </patternFill>
      </fill>
    </dxf>
    <dxf>
      <fill>
        <patternFill>
          <bgColor theme="4"/>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ont>
        <color theme="9" tint="-0.24994659260841701"/>
      </font>
    </dxf>
    <dxf>
      <font>
        <color rgb="FFFF0000"/>
      </font>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dxf>
    <dxf>
      <font>
        <color rgb="FF9C0006"/>
      </font>
    </dxf>
    <dxf>
      <font>
        <color rgb="FF9C0006"/>
      </font>
    </dxf>
  </dxfs>
  <tableStyles count="0" defaultTableStyle="TableStyleMedium2" defaultPivotStyle="PivotStyleLight16"/>
  <colors>
    <mruColors>
      <color rgb="FF66FFFF"/>
      <color rgb="FF66FF66"/>
      <color rgb="FFFF99FF"/>
      <color rgb="FFFF66FF"/>
      <color rgb="FFFF66CC"/>
      <color rgb="FFFFCC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485775</xdr:colOff>
          <xdr:row>1</xdr:row>
          <xdr:rowOff>238125</xdr:rowOff>
        </xdr:from>
        <xdr:to>
          <xdr:col>22</xdr:col>
          <xdr:colOff>190500</xdr:colOff>
          <xdr:row>2</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1</xdr:row>
          <xdr:rowOff>409575</xdr:rowOff>
        </xdr:from>
        <xdr:to>
          <xdr:col>22</xdr:col>
          <xdr:colOff>228600</xdr:colOff>
          <xdr:row>2</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Revision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xdr:row>
          <xdr:rowOff>152400</xdr:rowOff>
        </xdr:from>
        <xdr:to>
          <xdr:col>22</xdr:col>
          <xdr:colOff>228600</xdr:colOff>
          <xdr:row>2</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 Revision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W40"/>
  <sheetViews>
    <sheetView showGridLines="0" tabSelected="1" view="pageLayout" zoomScaleNormal="100" workbookViewId="0">
      <selection activeCell="J13" sqref="J13"/>
    </sheetView>
  </sheetViews>
  <sheetFormatPr defaultRowHeight="15" x14ac:dyDescent="0.25"/>
  <cols>
    <col min="2" max="2" width="7.5703125" customWidth="1"/>
    <col min="4" max="4" width="4.5703125" customWidth="1"/>
    <col min="6" max="6" width="11.42578125" customWidth="1"/>
    <col min="7" max="7" width="7" customWidth="1"/>
    <col min="8" max="8" width="10" customWidth="1"/>
    <col min="11" max="11" width="10.5703125" bestFit="1" customWidth="1"/>
  </cols>
  <sheetData>
    <row r="1" spans="1:23" ht="18.75" x14ac:dyDescent="0.3">
      <c r="A1" s="217" t="s">
        <v>160</v>
      </c>
      <c r="B1" s="217"/>
      <c r="C1" s="217"/>
      <c r="D1" s="217"/>
      <c r="E1" s="217"/>
      <c r="F1" s="217"/>
      <c r="G1" s="217"/>
      <c r="H1" s="217"/>
      <c r="I1" s="217"/>
      <c r="J1" s="217"/>
      <c r="K1" s="217"/>
      <c r="L1" s="217"/>
      <c r="M1" s="68"/>
      <c r="N1" s="36"/>
      <c r="O1" s="36"/>
      <c r="P1" s="36"/>
      <c r="Q1" s="36"/>
      <c r="R1" s="36"/>
      <c r="S1" s="36"/>
      <c r="T1" s="36"/>
      <c r="U1" s="36"/>
      <c r="V1" s="36"/>
      <c r="W1" s="36"/>
    </row>
    <row r="2" spans="1:23" ht="34.5" customHeight="1" x14ac:dyDescent="0.25">
      <c r="A2" s="218" t="s">
        <v>424</v>
      </c>
      <c r="B2" s="218"/>
      <c r="C2" s="218"/>
      <c r="D2" s="218"/>
      <c r="E2" s="218"/>
      <c r="F2" s="218"/>
      <c r="G2" s="218"/>
      <c r="H2" s="218"/>
      <c r="I2" s="218"/>
      <c r="J2" s="218"/>
      <c r="K2" s="218"/>
      <c r="L2" s="218"/>
      <c r="M2" s="208"/>
      <c r="N2" s="36"/>
      <c r="O2" s="36"/>
      <c r="P2" s="36"/>
      <c r="Q2" s="36"/>
      <c r="R2" s="36"/>
      <c r="S2" s="36"/>
      <c r="T2" s="36"/>
      <c r="U2" s="36"/>
      <c r="V2" s="36"/>
      <c r="W2" s="36"/>
    </row>
    <row r="3" spans="1:23" ht="81" customHeight="1" x14ac:dyDescent="0.25">
      <c r="A3" s="132" t="s">
        <v>43</v>
      </c>
      <c r="B3" s="213" t="s">
        <v>181</v>
      </c>
      <c r="C3" s="213"/>
      <c r="D3" s="213"/>
      <c r="E3" s="213"/>
      <c r="F3" s="213"/>
      <c r="G3" s="213"/>
      <c r="H3" s="213"/>
      <c r="I3" s="213"/>
      <c r="J3" s="213"/>
      <c r="K3" s="213"/>
      <c r="L3" s="213"/>
      <c r="M3" s="68"/>
      <c r="N3" s="36"/>
      <c r="O3" s="36"/>
      <c r="P3" s="36"/>
      <c r="Q3" s="36"/>
      <c r="R3" s="36"/>
      <c r="S3" s="36"/>
      <c r="T3" s="36"/>
      <c r="U3" s="36"/>
      <c r="V3" s="36"/>
      <c r="W3" s="36"/>
    </row>
    <row r="4" spans="1:23" ht="11.25" customHeight="1" x14ac:dyDescent="0.25">
      <c r="A4" s="210"/>
      <c r="B4" s="133"/>
      <c r="C4" s="133"/>
      <c r="D4" s="134"/>
      <c r="E4" s="134"/>
      <c r="F4" s="134"/>
      <c r="G4" s="134"/>
      <c r="H4" s="134"/>
      <c r="I4" s="134"/>
      <c r="J4" s="46"/>
      <c r="K4" s="12"/>
      <c r="L4" s="68"/>
      <c r="M4" s="68"/>
      <c r="N4" s="36"/>
      <c r="P4" s="36"/>
      <c r="Q4" s="36"/>
      <c r="R4" s="36"/>
      <c r="S4" s="36"/>
      <c r="T4" s="36"/>
      <c r="U4" s="36"/>
      <c r="V4" s="36"/>
      <c r="W4" s="36"/>
    </row>
    <row r="5" spans="1:23" ht="34.5" customHeight="1" x14ac:dyDescent="0.25">
      <c r="A5" s="135" t="s">
        <v>43</v>
      </c>
      <c r="B5" s="213" t="s">
        <v>466</v>
      </c>
      <c r="C5" s="213"/>
      <c r="D5" s="213"/>
      <c r="E5" s="213"/>
      <c r="F5" s="213"/>
      <c r="G5" s="213"/>
      <c r="H5" s="213"/>
      <c r="I5" s="213"/>
      <c r="J5" s="213"/>
      <c r="K5" s="213"/>
      <c r="L5" s="213"/>
      <c r="M5" s="68"/>
      <c r="N5" s="36"/>
      <c r="O5" s="36"/>
      <c r="P5" s="36"/>
      <c r="Q5" s="36"/>
      <c r="R5" s="36"/>
      <c r="S5" s="36"/>
      <c r="T5" s="36"/>
      <c r="U5" s="36"/>
      <c r="V5" s="36"/>
      <c r="W5" s="36"/>
    </row>
    <row r="6" spans="1:23" ht="8.25" customHeight="1" x14ac:dyDescent="0.25">
      <c r="A6" s="135"/>
      <c r="B6" s="201"/>
      <c r="C6" s="201"/>
      <c r="D6" s="201"/>
      <c r="E6" s="201"/>
      <c r="F6" s="201"/>
      <c r="G6" s="201"/>
      <c r="H6" s="201"/>
      <c r="I6" s="201"/>
      <c r="J6" s="201"/>
      <c r="K6" s="201"/>
      <c r="L6" s="201"/>
      <c r="M6" s="68"/>
      <c r="N6" s="36"/>
      <c r="O6" s="36"/>
      <c r="P6" s="36"/>
      <c r="Q6" s="36"/>
      <c r="R6" s="36"/>
      <c r="S6" s="36"/>
      <c r="T6" s="36"/>
      <c r="U6" s="36"/>
      <c r="V6" s="36"/>
      <c r="W6" s="36"/>
    </row>
    <row r="7" spans="1:23" ht="34.35" customHeight="1" x14ac:dyDescent="0.25">
      <c r="A7" s="211" t="s">
        <v>43</v>
      </c>
      <c r="B7" s="213" t="s">
        <v>467</v>
      </c>
      <c r="C7" s="213"/>
      <c r="D7" s="213"/>
      <c r="E7" s="213"/>
      <c r="F7" s="213"/>
      <c r="G7" s="213"/>
      <c r="H7" s="213"/>
      <c r="I7" s="213"/>
      <c r="J7" s="213"/>
      <c r="K7" s="213"/>
      <c r="L7" s="213"/>
      <c r="M7" s="68"/>
      <c r="N7" s="36"/>
      <c r="O7" s="36"/>
      <c r="P7" s="36"/>
      <c r="Q7" s="36"/>
      <c r="R7" s="36"/>
      <c r="S7" s="36"/>
      <c r="T7" s="36"/>
      <c r="U7" s="36"/>
      <c r="V7" s="36"/>
      <c r="W7" s="36"/>
    </row>
    <row r="8" spans="1:23" ht="15.75" x14ac:dyDescent="0.25">
      <c r="A8" s="210"/>
      <c r="B8" s="133"/>
      <c r="C8" s="136"/>
      <c r="D8" s="134"/>
      <c r="E8" s="134"/>
      <c r="F8" s="134"/>
      <c r="G8" s="134"/>
      <c r="H8" s="134"/>
      <c r="I8" s="134"/>
      <c r="J8" s="46"/>
      <c r="K8" s="12"/>
      <c r="L8" s="68"/>
      <c r="M8" s="68"/>
      <c r="N8" s="36"/>
      <c r="O8" s="36"/>
      <c r="P8" s="36"/>
      <c r="Q8" s="36"/>
      <c r="R8" s="36"/>
      <c r="S8" s="36"/>
      <c r="T8" s="36"/>
      <c r="U8" s="36"/>
      <c r="V8" s="36"/>
      <c r="W8" s="36"/>
    </row>
    <row r="9" spans="1:23" ht="79.349999999999994" customHeight="1" x14ac:dyDescent="0.25">
      <c r="A9" s="132" t="s">
        <v>43</v>
      </c>
      <c r="B9" s="213" t="s">
        <v>182</v>
      </c>
      <c r="C9" s="213"/>
      <c r="D9" s="213"/>
      <c r="E9" s="213"/>
      <c r="F9" s="213"/>
      <c r="G9" s="213"/>
      <c r="H9" s="213"/>
      <c r="I9" s="213"/>
      <c r="J9" s="213"/>
      <c r="K9" s="213"/>
      <c r="L9" s="213"/>
      <c r="M9" s="68"/>
      <c r="N9" s="36"/>
      <c r="O9" s="36"/>
      <c r="P9" s="36"/>
      <c r="Q9" s="36"/>
      <c r="R9" s="36"/>
      <c r="S9" s="36"/>
      <c r="T9" s="36"/>
      <c r="U9" s="36"/>
      <c r="V9" s="36"/>
      <c r="W9" s="36"/>
    </row>
    <row r="10" spans="1:23" ht="14.25" customHeight="1" x14ac:dyDescent="0.25">
      <c r="A10" s="135"/>
      <c r="B10" s="133"/>
      <c r="C10" s="133"/>
      <c r="D10" s="133"/>
      <c r="E10" s="133"/>
      <c r="F10" s="133"/>
      <c r="G10" s="133"/>
      <c r="H10" s="133"/>
      <c r="I10" s="133"/>
      <c r="J10" s="133"/>
      <c r="K10" s="12"/>
      <c r="L10" s="68"/>
      <c r="M10" s="68"/>
      <c r="N10" s="36"/>
      <c r="O10" s="36"/>
      <c r="P10" s="36"/>
      <c r="Q10" s="36"/>
      <c r="R10" s="36"/>
      <c r="S10" s="36"/>
      <c r="T10" s="36"/>
      <c r="U10" s="36"/>
      <c r="V10" s="36"/>
      <c r="W10" s="36"/>
    </row>
    <row r="11" spans="1:23" ht="15.75" x14ac:dyDescent="0.25">
      <c r="A11" s="193"/>
      <c r="B11" s="194" t="s">
        <v>56</v>
      </c>
      <c r="C11" s="193"/>
      <c r="J11" s="46"/>
      <c r="K11" s="12"/>
      <c r="L11" s="68"/>
      <c r="M11" s="68"/>
      <c r="N11" s="36"/>
      <c r="O11" s="36"/>
      <c r="P11" s="36"/>
      <c r="Q11" s="36"/>
      <c r="R11" s="36"/>
      <c r="S11" s="36"/>
      <c r="T11" s="36"/>
      <c r="U11" s="36"/>
      <c r="V11" s="36"/>
      <c r="W11" s="36"/>
    </row>
    <row r="12" spans="1:23" ht="15.75" x14ac:dyDescent="0.25">
      <c r="B12" s="195" t="s">
        <v>157</v>
      </c>
      <c r="C12" s="174" t="s">
        <v>468</v>
      </c>
      <c r="F12" s="176" t="s">
        <v>465</v>
      </c>
      <c r="G12" s="209" t="s">
        <v>470</v>
      </c>
      <c r="J12" s="46"/>
      <c r="K12" s="12"/>
      <c r="L12" s="12"/>
      <c r="M12" s="12"/>
    </row>
    <row r="13" spans="1:23" ht="15.75" x14ac:dyDescent="0.25">
      <c r="B13" s="196"/>
      <c r="C13" s="174" t="s">
        <v>469</v>
      </c>
      <c r="G13" s="209" t="s">
        <v>471</v>
      </c>
      <c r="J13" s="46"/>
      <c r="K13" s="12"/>
      <c r="L13" s="12"/>
      <c r="M13" s="12"/>
    </row>
    <row r="14" spans="1:23" ht="15.75" hidden="1" x14ac:dyDescent="0.25">
      <c r="B14" s="196"/>
      <c r="C14" s="175"/>
      <c r="F14" s="176"/>
      <c r="G14" s="204"/>
      <c r="H14" s="204"/>
      <c r="J14" s="46"/>
      <c r="K14" s="12"/>
      <c r="L14" s="12"/>
      <c r="M14" s="12"/>
    </row>
    <row r="15" spans="1:23" ht="15.75" hidden="1" x14ac:dyDescent="0.25">
      <c r="B15" s="196"/>
      <c r="C15" s="175"/>
      <c r="G15" s="204"/>
      <c r="H15" s="204"/>
      <c r="J15" s="46"/>
      <c r="K15" s="12"/>
      <c r="L15" s="12"/>
      <c r="M15" s="12"/>
    </row>
    <row r="16" spans="1:23" ht="18.75" x14ac:dyDescent="0.25">
      <c r="A16" s="139" t="s">
        <v>44</v>
      </c>
      <c r="B16" s="137"/>
      <c r="C16" s="138"/>
      <c r="D16" s="12"/>
      <c r="E16" s="12"/>
      <c r="F16" s="12"/>
      <c r="G16" s="12"/>
      <c r="H16" s="12"/>
      <c r="I16" s="12"/>
      <c r="J16" s="46"/>
      <c r="K16" s="12"/>
      <c r="L16" s="12"/>
      <c r="M16" s="12"/>
    </row>
    <row r="17" spans="1:13" ht="15.75" x14ac:dyDescent="0.25">
      <c r="A17" s="140"/>
      <c r="B17" s="214" t="s">
        <v>57</v>
      </c>
      <c r="C17" s="214"/>
      <c r="D17" s="214"/>
      <c r="E17" s="214"/>
      <c r="F17" s="46"/>
      <c r="G17" s="214" t="s">
        <v>46</v>
      </c>
      <c r="H17" s="214"/>
      <c r="I17" s="214"/>
      <c r="J17" s="141"/>
      <c r="K17" s="12"/>
      <c r="L17" s="12"/>
      <c r="M17" s="12"/>
    </row>
    <row r="18" spans="1:13" x14ac:dyDescent="0.25">
      <c r="A18" s="140"/>
      <c r="B18" s="129"/>
      <c r="C18" s="215" t="s">
        <v>30</v>
      </c>
      <c r="D18" s="216"/>
      <c r="E18" s="143"/>
      <c r="F18" s="143"/>
      <c r="G18" s="9"/>
      <c r="H18" s="215" t="s">
        <v>183</v>
      </c>
      <c r="I18" s="216"/>
      <c r="J18" s="216"/>
      <c r="K18" s="216"/>
      <c r="L18" s="12"/>
      <c r="M18" s="12"/>
    </row>
    <row r="19" spans="1:13" x14ac:dyDescent="0.25">
      <c r="A19" s="140"/>
      <c r="B19" s="130"/>
      <c r="C19" s="215" t="s">
        <v>32</v>
      </c>
      <c r="D19" s="216"/>
      <c r="E19" s="216"/>
      <c r="F19" s="142"/>
      <c r="G19" s="10"/>
      <c r="H19" s="125" t="s">
        <v>158</v>
      </c>
      <c r="I19" s="46"/>
      <c r="J19" s="46"/>
      <c r="K19" s="12"/>
      <c r="L19" s="12"/>
      <c r="M19" s="12"/>
    </row>
    <row r="20" spans="1:13" x14ac:dyDescent="0.25">
      <c r="A20" s="131"/>
      <c r="B20" s="8"/>
      <c r="C20" s="144" t="s">
        <v>34</v>
      </c>
      <c r="D20" s="45"/>
      <c r="E20" s="45"/>
      <c r="F20" s="45"/>
      <c r="G20" s="11"/>
      <c r="H20" s="125" t="s">
        <v>159</v>
      </c>
      <c r="I20" s="46"/>
      <c r="J20" s="46"/>
      <c r="K20" s="12"/>
      <c r="L20" s="12"/>
      <c r="M20" s="12"/>
    </row>
    <row r="21" spans="1:13" x14ac:dyDescent="0.25">
      <c r="A21" s="131"/>
      <c r="B21" s="73"/>
      <c r="C21" s="215" t="s">
        <v>37</v>
      </c>
      <c r="D21" s="216"/>
      <c r="E21" s="216"/>
      <c r="F21" s="216"/>
      <c r="G21" s="126"/>
      <c r="H21" s="125" t="s">
        <v>185</v>
      </c>
      <c r="I21" s="46"/>
      <c r="J21" s="46"/>
      <c r="K21" s="12"/>
      <c r="L21" s="12"/>
      <c r="M21" s="12"/>
    </row>
    <row r="22" spans="1:13" x14ac:dyDescent="0.25">
      <c r="A22" s="131"/>
      <c r="B22" s="128"/>
      <c r="C22" s="215" t="s">
        <v>45</v>
      </c>
      <c r="D22" s="216"/>
      <c r="E22" s="216"/>
      <c r="F22" s="142"/>
      <c r="G22" s="46" t="s">
        <v>47</v>
      </c>
      <c r="H22" s="125" t="s">
        <v>35</v>
      </c>
      <c r="I22" s="46"/>
      <c r="J22" s="46"/>
      <c r="K22" s="12"/>
      <c r="L22" s="12"/>
      <c r="M22" s="12"/>
    </row>
    <row r="23" spans="1:13" x14ac:dyDescent="0.25">
      <c r="A23" s="131"/>
      <c r="B23" s="74"/>
      <c r="C23" s="216" t="s">
        <v>33</v>
      </c>
      <c r="D23" s="216"/>
      <c r="E23" s="142"/>
      <c r="F23" s="142"/>
      <c r="G23" s="46" t="s">
        <v>48</v>
      </c>
      <c r="H23" s="125" t="s">
        <v>33</v>
      </c>
      <c r="I23" s="46"/>
      <c r="J23" s="46"/>
      <c r="K23" s="12"/>
      <c r="L23" s="12"/>
      <c r="M23" s="12"/>
    </row>
    <row r="24" spans="1:13" x14ac:dyDescent="0.25">
      <c r="A24" s="131"/>
      <c r="B24" s="75"/>
      <c r="C24" s="216" t="s">
        <v>35</v>
      </c>
      <c r="D24" s="216"/>
      <c r="E24" s="142"/>
      <c r="F24" s="142"/>
      <c r="G24" s="149" t="s">
        <v>179</v>
      </c>
      <c r="H24" s="142" t="s">
        <v>184</v>
      </c>
      <c r="I24" s="46"/>
      <c r="J24" s="46"/>
      <c r="K24" s="12"/>
      <c r="L24" s="12"/>
      <c r="M24" s="12"/>
    </row>
    <row r="25" spans="1:13" x14ac:dyDescent="0.25">
      <c r="A25" s="131"/>
      <c r="B25" s="203"/>
      <c r="C25" s="200" t="s">
        <v>421</v>
      </c>
      <c r="D25" s="200"/>
      <c r="E25" s="200"/>
      <c r="F25" s="200"/>
      <c r="G25" s="202"/>
      <c r="H25" s="200"/>
      <c r="I25" s="46"/>
      <c r="J25" s="46"/>
      <c r="K25" s="12"/>
      <c r="L25" s="12"/>
      <c r="M25" s="12"/>
    </row>
    <row r="26" spans="1:13" x14ac:dyDescent="0.25">
      <c r="A26" s="46"/>
      <c r="B26" s="46"/>
      <c r="C26" s="46"/>
      <c r="D26" s="46"/>
      <c r="E26" s="46"/>
      <c r="F26" s="46"/>
      <c r="G26" s="46"/>
      <c r="H26" s="46"/>
      <c r="I26" s="46"/>
      <c r="J26" s="46"/>
      <c r="K26" s="12"/>
      <c r="L26" s="12"/>
      <c r="M26" s="12"/>
    </row>
    <row r="27" spans="1:13" ht="35.1" customHeight="1" x14ac:dyDescent="0.25">
      <c r="A27" s="132" t="s">
        <v>43</v>
      </c>
      <c r="B27" s="213" t="s">
        <v>425</v>
      </c>
      <c r="C27" s="213"/>
      <c r="D27" s="213"/>
      <c r="E27" s="213"/>
      <c r="F27" s="213"/>
      <c r="G27" s="213"/>
      <c r="H27" s="213"/>
      <c r="I27" s="213"/>
      <c r="J27" s="213"/>
      <c r="K27" s="213"/>
      <c r="L27" s="213"/>
      <c r="M27" s="12"/>
    </row>
    <row r="28" spans="1:13" ht="35.1" customHeight="1" x14ac:dyDescent="0.25">
      <c r="A28" s="132" t="s">
        <v>43</v>
      </c>
      <c r="B28" s="213" t="s">
        <v>54</v>
      </c>
      <c r="C28" s="213"/>
      <c r="D28" s="213"/>
      <c r="E28" s="213"/>
      <c r="F28" s="213"/>
      <c r="G28" s="213"/>
      <c r="H28" s="213"/>
      <c r="I28" s="213"/>
      <c r="J28" s="213"/>
      <c r="K28" s="213"/>
      <c r="L28" s="213"/>
      <c r="M28" s="12"/>
    </row>
    <row r="29" spans="1:13" ht="78.599999999999994" customHeight="1" x14ac:dyDescent="0.25">
      <c r="A29" s="132" t="s">
        <v>43</v>
      </c>
      <c r="B29" s="213" t="s">
        <v>188</v>
      </c>
      <c r="C29" s="213"/>
      <c r="D29" s="213"/>
      <c r="E29" s="213"/>
      <c r="F29" s="213"/>
      <c r="G29" s="213"/>
      <c r="H29" s="213"/>
      <c r="I29" s="213"/>
      <c r="J29" s="213"/>
      <c r="K29" s="213"/>
      <c r="L29" s="213"/>
      <c r="M29" s="12"/>
    </row>
    <row r="30" spans="1:13" x14ac:dyDescent="0.25">
      <c r="A30" s="7"/>
      <c r="B30" s="7"/>
      <c r="C30" s="7"/>
      <c r="D30" s="7"/>
      <c r="E30" s="7"/>
      <c r="F30" s="7"/>
      <c r="G30" s="7"/>
      <c r="H30" s="7"/>
      <c r="I30" s="7"/>
      <c r="J30" s="7"/>
    </row>
    <row r="31" spans="1:13" x14ac:dyDescent="0.25">
      <c r="A31" s="7"/>
      <c r="B31" s="7"/>
      <c r="C31" s="7"/>
      <c r="D31" s="7"/>
      <c r="E31" s="7"/>
      <c r="F31" s="7"/>
      <c r="G31" s="7"/>
    </row>
    <row r="32" spans="1:13"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sheetData>
  <sheetProtection algorithmName="SHA-512" hashValue="IOTMGqqQ+y4dI8ISnUzHqMJgPgL+ai9FVrfllWc3QX5HjAL9erzW2Jegj35BPHrGzkcjzi874Lq5grNs2/LCPA==" saltValue="wzMYp5887wVYVdksvkljdg==" spinCount="100000" sheet="1" selectLockedCells="1"/>
  <mergeCells count="18">
    <mergeCell ref="B3:L3"/>
    <mergeCell ref="B5:L5"/>
    <mergeCell ref="B9:L9"/>
    <mergeCell ref="H18:K18"/>
    <mergeCell ref="A1:L1"/>
    <mergeCell ref="B7:L7"/>
    <mergeCell ref="A2:L2"/>
    <mergeCell ref="B28:L28"/>
    <mergeCell ref="B29:L29"/>
    <mergeCell ref="B17:E17"/>
    <mergeCell ref="C18:D18"/>
    <mergeCell ref="C19:E19"/>
    <mergeCell ref="G17:I17"/>
    <mergeCell ref="C21:F21"/>
    <mergeCell ref="C24:D24"/>
    <mergeCell ref="C23:D23"/>
    <mergeCell ref="C22:E22"/>
    <mergeCell ref="B27:L27"/>
  </mergeCells>
  <pageMargins left="0.25" right="0.25" top="0.75" bottom="0.75" header="0.3" footer="0.3"/>
  <pageSetup scale="88"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55"/>
  <sheetViews>
    <sheetView showGridLines="0" view="pageLayout" zoomScale="75" zoomScaleNormal="100" zoomScalePageLayoutView="75" workbookViewId="0">
      <selection activeCell="D2" sqref="D2:I2"/>
    </sheetView>
  </sheetViews>
  <sheetFormatPr defaultColWidth="5.5703125" defaultRowHeight="15" x14ac:dyDescent="0.25"/>
  <cols>
    <col min="1" max="1" width="10.5703125" customWidth="1"/>
    <col min="2" max="4" width="7.140625" customWidth="1"/>
    <col min="5" max="5" width="6.85546875" customWidth="1"/>
    <col min="6" max="7" width="7.140625" customWidth="1"/>
    <col min="8" max="8" width="8.42578125" bestFit="1" customWidth="1"/>
    <col min="9" max="29" width="7.140625" customWidth="1"/>
    <col min="30" max="30" width="10.5703125" customWidth="1"/>
  </cols>
  <sheetData>
    <row r="1" spans="1:34" ht="39" customHeight="1" x14ac:dyDescent="0.3">
      <c r="A1" s="34"/>
      <c r="B1" s="286" t="s">
        <v>49</v>
      </c>
      <c r="C1" s="286"/>
      <c r="D1" s="288"/>
      <c r="E1" s="288"/>
      <c r="F1" s="288"/>
      <c r="G1" s="288"/>
      <c r="H1" s="288"/>
      <c r="I1" s="288"/>
      <c r="J1" s="288"/>
      <c r="K1" s="288"/>
      <c r="L1" s="288"/>
      <c r="M1" s="12"/>
      <c r="N1" s="29" t="s">
        <v>0</v>
      </c>
      <c r="O1" s="290"/>
      <c r="P1" s="290"/>
      <c r="Q1" s="12"/>
      <c r="R1" s="115"/>
      <c r="S1" s="287"/>
      <c r="T1" s="287"/>
      <c r="U1" s="62" t="e">
        <f>VLOOKUP(S1,#REF!,2,FALSE)</f>
        <v>#REF!</v>
      </c>
      <c r="V1" s="286" t="s">
        <v>55</v>
      </c>
      <c r="W1" s="286"/>
      <c r="X1" s="253"/>
      <c r="Y1" s="253"/>
      <c r="Z1" s="12"/>
      <c r="AA1" s="255" t="s">
        <v>74</v>
      </c>
      <c r="AB1" s="255"/>
      <c r="AC1" s="240" t="s">
        <v>68</v>
      </c>
      <c r="AD1" s="240"/>
      <c r="AE1" s="41"/>
      <c r="AF1" s="41"/>
    </row>
    <row r="2" spans="1:34" ht="34.5" customHeight="1" x14ac:dyDescent="0.3">
      <c r="A2" s="34"/>
      <c r="B2" s="286" t="s">
        <v>161</v>
      </c>
      <c r="C2" s="286"/>
      <c r="D2" s="288"/>
      <c r="E2" s="288"/>
      <c r="F2" s="288"/>
      <c r="G2" s="288"/>
      <c r="H2" s="288"/>
      <c r="I2" s="288"/>
      <c r="J2" s="289" t="s">
        <v>163</v>
      </c>
      <c r="K2" s="289"/>
      <c r="L2" s="173"/>
      <c r="M2" s="256" t="s">
        <v>162</v>
      </c>
      <c r="N2" s="256"/>
      <c r="O2" s="288"/>
      <c r="P2" s="288"/>
      <c r="Q2" s="288"/>
      <c r="R2" s="288"/>
      <c r="S2" s="288"/>
      <c r="T2" s="288"/>
      <c r="U2" s="291" t="s">
        <v>164</v>
      </c>
      <c r="V2" s="291"/>
      <c r="W2" s="291"/>
      <c r="X2" s="252" t="e">
        <f>ROUNDUP(SUM(HLOOKUP(X1,Calendars!$R$1:$Y$2,2,FALSE)*L2),1)</f>
        <v>#N/A</v>
      </c>
      <c r="Y2" s="252"/>
      <c r="Z2" s="12"/>
      <c r="AA2" s="12"/>
      <c r="AB2" s="12"/>
      <c r="AD2" s="12"/>
      <c r="AE2" s="41"/>
      <c r="AF2" s="41"/>
    </row>
    <row r="3" spans="1:34" ht="15.75" x14ac:dyDescent="0.25">
      <c r="A3" s="30"/>
      <c r="B3" s="30"/>
      <c r="C3" s="30"/>
      <c r="D3" s="30"/>
      <c r="E3" s="30"/>
      <c r="F3" s="30"/>
      <c r="G3" s="30"/>
      <c r="H3" s="36"/>
      <c r="I3" s="30"/>
      <c r="J3" s="30"/>
      <c r="K3" s="30"/>
      <c r="L3" s="30"/>
      <c r="M3" s="30"/>
      <c r="N3" s="30"/>
      <c r="O3" s="30"/>
      <c r="P3" s="30"/>
      <c r="Q3" s="30"/>
      <c r="R3" s="30"/>
      <c r="S3" s="30"/>
      <c r="T3" s="30"/>
      <c r="U3" s="30"/>
      <c r="V3" s="30"/>
      <c r="W3" s="30"/>
      <c r="X3" s="30"/>
      <c r="Y3" s="30"/>
      <c r="Z3" s="12"/>
      <c r="AA3" s="12"/>
      <c r="AB3" s="12"/>
      <c r="AC3" s="12"/>
      <c r="AD3" s="12"/>
      <c r="AE3" s="41"/>
      <c r="AF3" s="41"/>
    </row>
    <row r="4" spans="1:34" ht="15.75" thickBot="1" x14ac:dyDescent="0.3">
      <c r="A4" s="31"/>
      <c r="B4" s="31"/>
      <c r="C4" s="31" t="s">
        <v>1</v>
      </c>
      <c r="D4" s="31" t="s">
        <v>2</v>
      </c>
      <c r="E4" s="31" t="s">
        <v>3</v>
      </c>
      <c r="F4" s="31" t="s">
        <v>4</v>
      </c>
      <c r="G4" s="31" t="s">
        <v>5</v>
      </c>
      <c r="H4" s="31"/>
      <c r="I4" s="31"/>
      <c r="J4" s="31" t="s">
        <v>1</v>
      </c>
      <c r="K4" s="31" t="s">
        <v>2</v>
      </c>
      <c r="L4" s="31" t="s">
        <v>3</v>
      </c>
      <c r="M4" s="31" t="s">
        <v>4</v>
      </c>
      <c r="N4" s="31" t="s">
        <v>5</v>
      </c>
      <c r="O4" s="31"/>
      <c r="P4" s="31"/>
      <c r="Q4" s="31" t="s">
        <v>1</v>
      </c>
      <c r="R4" s="31" t="s">
        <v>2</v>
      </c>
      <c r="S4" s="31" t="s">
        <v>3</v>
      </c>
      <c r="T4" s="31" t="s">
        <v>4</v>
      </c>
      <c r="U4" s="31" t="s">
        <v>5</v>
      </c>
      <c r="V4" s="31"/>
      <c r="W4" s="31"/>
      <c r="X4" s="31" t="s">
        <v>1</v>
      </c>
      <c r="Y4" s="31" t="s">
        <v>2</v>
      </c>
      <c r="Z4" s="31" t="s">
        <v>3</v>
      </c>
      <c r="AA4" s="31" t="s">
        <v>4</v>
      </c>
      <c r="AB4" s="31" t="s">
        <v>5</v>
      </c>
      <c r="AC4" s="17"/>
      <c r="AD4" s="12"/>
      <c r="AE4" s="41"/>
      <c r="AF4" s="41"/>
    </row>
    <row r="5" spans="1:34" ht="15" customHeight="1" x14ac:dyDescent="0.25">
      <c r="A5" s="25"/>
      <c r="B5" s="292" t="s">
        <v>6</v>
      </c>
      <c r="C5" s="162"/>
      <c r="D5" s="163"/>
      <c r="E5" s="163"/>
      <c r="F5" s="163"/>
      <c r="G5" s="164"/>
      <c r="H5" s="28"/>
      <c r="I5" s="257" t="s">
        <v>7</v>
      </c>
      <c r="J5" s="162"/>
      <c r="K5" s="163"/>
      <c r="L5" s="163"/>
      <c r="M5" s="163"/>
      <c r="N5" s="164"/>
      <c r="O5" s="26"/>
      <c r="P5" s="260" t="s">
        <v>8</v>
      </c>
      <c r="Q5" s="162"/>
      <c r="R5" s="163"/>
      <c r="S5" s="163"/>
      <c r="T5" s="163"/>
      <c r="U5" s="164"/>
      <c r="V5" s="26"/>
      <c r="W5" s="241" t="s">
        <v>9</v>
      </c>
      <c r="X5" s="162"/>
      <c r="Y5" s="163"/>
      <c r="Z5" s="163"/>
      <c r="AA5" s="163"/>
      <c r="AB5" s="164"/>
      <c r="AC5" s="35"/>
      <c r="AD5" s="12"/>
      <c r="AE5" s="41"/>
      <c r="AF5" s="41"/>
    </row>
    <row r="6" spans="1:34" x14ac:dyDescent="0.25">
      <c r="A6" s="17"/>
      <c r="B6" s="293"/>
      <c r="C6" s="88">
        <f>IF(AND(YEAR(July1OffSet+2)=BegCalYear,MONTH(July1OffSet+2)=7),July1OffSet+2,"")</f>
        <v>45474</v>
      </c>
      <c r="D6" s="168">
        <f>IF(AND(YEAR(July1OffSet+3)=BegCalYear,MONTH(July1OffSet+3)=7),July1OffSet+3,"")</f>
        <v>45475</v>
      </c>
      <c r="E6" s="168">
        <f>IF(AND(YEAR(July1OffSet+4)=BegCalYear,MONTH(July1OffSet+4)=7),July1OffSet+4,"")</f>
        <v>45476</v>
      </c>
      <c r="F6" s="168">
        <f>IF(AND(YEAR(July1OffSet+5)=BegCalYear,MONTH(July1OffSet+5)=7),July1OffSet+5,"")</f>
        <v>45477</v>
      </c>
      <c r="G6" s="169">
        <f>IF(AND(YEAR(July1OffSet+6)=BegCalYear,MONTH(July1OffSet+6)=7),July1OffSet+6,"")</f>
        <v>45478</v>
      </c>
      <c r="H6" s="76"/>
      <c r="I6" s="258"/>
      <c r="J6" s="88" t="str">
        <f>IF(AND(YEAR(OctOffSet+2)=BegCalYear,MONTH(OctOffSet+2)=10),OctOffSet+2,"")</f>
        <v/>
      </c>
      <c r="K6" s="168">
        <f>IF(AND(YEAR(OctOffSet+3)=BegCalYear,MONTH(OctOffSet+3)=10),OctOffSet+3,"")</f>
        <v>45566</v>
      </c>
      <c r="L6" s="168">
        <f>IF(AND(YEAR(OctOffSet+4)=BegCalYear,MONTH(OctOffSet+4)=10),OctOffSet+4,"")</f>
        <v>45567</v>
      </c>
      <c r="M6" s="168">
        <f>IF(AND(YEAR(OctOffSet+5)=BegCalYear,MONTH(OctOffSet+5)=10),OctOffSet+5,"")</f>
        <v>45568</v>
      </c>
      <c r="N6" s="169">
        <f>IF(AND(YEAR(OctOffSet+6)=BegCalYear,MONTH(OctOffSet+6)=10),OctOffSet+6,"")</f>
        <v>45569</v>
      </c>
      <c r="O6" s="26"/>
      <c r="P6" s="261"/>
      <c r="Q6" s="88" t="str">
        <f>IF(AND(YEAR(JanOffSet+2)=CalendarYear,MONTH(JanOffSet+2)=1),JanOffSet+2,"")</f>
        <v/>
      </c>
      <c r="R6" s="168" t="str">
        <f>IF(AND(YEAR(JanOffSet+3)=CalendarYear,MONTH(JanOffSet+3)=1),JanOffSet+3,"")</f>
        <v/>
      </c>
      <c r="S6" s="168">
        <f>IF(AND(YEAR(JanOffSet+4)=CalendarYear,MONTH(JanOffSet+4)=1),JanOffSet+4,"")</f>
        <v>45658</v>
      </c>
      <c r="T6" s="168">
        <f>IF(AND(YEAR(JanOffSet+5)=CalendarYear,MONTH(JanOffSet+5)=1),JanOffSet+5,"")</f>
        <v>45659</v>
      </c>
      <c r="U6" s="169">
        <f>IF(AND(YEAR(JanOffSet+6)=CalendarYear,MONTH(JanOffSet+6)=1),JanOffSet+6,"")</f>
        <v>45660</v>
      </c>
      <c r="V6" s="26"/>
      <c r="W6" s="242"/>
      <c r="X6" s="88" t="str">
        <f>IF(AND(YEAR(AprOffSet+2)=CalendarYear,MONTH(AprOffSet+2)=4),AprOffSet+2,"")</f>
        <v/>
      </c>
      <c r="Y6" s="168">
        <f>IF(AND(YEAR(AprOffSet+3)=CalendarYear,MONTH(AprOffSet+3)=4),AprOffSet+3,"")</f>
        <v>45748</v>
      </c>
      <c r="Z6" s="168">
        <f>IF(AND(YEAR(AprOffSet+4)=CalendarYear,MONTH(AprOffSet+4)=4),AprOffSet+4,"")</f>
        <v>45749</v>
      </c>
      <c r="AA6" s="168">
        <f>IF(AND(YEAR(AprOffSet+5)=CalendarYear,MONTH(AprOffSet+5)=4),AprOffSet+5,"")</f>
        <v>45750</v>
      </c>
      <c r="AB6" s="169">
        <f>IF(AND(YEAR(AprOffSet+6)=CalendarYear,MONTH(AprOffSet+6)=4),AprOffSet+6,"")</f>
        <v>45751</v>
      </c>
      <c r="AC6" s="35"/>
      <c r="AD6" s="12"/>
      <c r="AE6" s="41"/>
      <c r="AF6" s="41"/>
    </row>
    <row r="7" spans="1:34" x14ac:dyDescent="0.25">
      <c r="A7" s="26"/>
      <c r="B7" s="293"/>
      <c r="C7" s="165"/>
      <c r="D7" s="166"/>
      <c r="E7" s="166"/>
      <c r="F7" s="166"/>
      <c r="G7" s="167"/>
      <c r="H7" s="76"/>
      <c r="I7" s="258"/>
      <c r="J7" s="165"/>
      <c r="K7" s="166"/>
      <c r="L7" s="166"/>
      <c r="M7" s="166"/>
      <c r="N7" s="167"/>
      <c r="O7" s="26"/>
      <c r="P7" s="261"/>
      <c r="Q7" s="165"/>
      <c r="R7" s="166"/>
      <c r="S7" s="166"/>
      <c r="T7" s="166"/>
      <c r="U7" s="167"/>
      <c r="V7" s="26"/>
      <c r="W7" s="242"/>
      <c r="X7" s="165"/>
      <c r="Y7" s="166"/>
      <c r="Z7" s="166"/>
      <c r="AA7" s="166"/>
      <c r="AB7" s="167"/>
      <c r="AC7" s="35"/>
      <c r="AD7" s="12"/>
      <c r="AE7" s="41"/>
      <c r="AF7" s="41"/>
    </row>
    <row r="8" spans="1:34" x14ac:dyDescent="0.25">
      <c r="A8" s="26"/>
      <c r="B8" s="293"/>
      <c r="C8" s="88">
        <f>IF(AND(YEAR(July1OffSet+9)=BegCalYear,MONTH(July1OffSet+9)=7),July1OffSet+9,"")</f>
        <v>45481</v>
      </c>
      <c r="D8" s="168">
        <f>IF(AND(YEAR(July1OffSet+10)=BegCalYear,MONTH(July1OffSet+10)=7),July1OffSet+10,"")</f>
        <v>45482</v>
      </c>
      <c r="E8" s="168">
        <f>IF(AND(YEAR(July1OffSet+11)=BegCalYear,MONTH(July1OffSet+11)=7),July1OffSet+11,"")</f>
        <v>45483</v>
      </c>
      <c r="F8" s="168">
        <f>IF(AND(YEAR(July1OffSet+12)=BegCalYear,MONTH(July1OffSet+12)=7),July1OffSet+12,"")</f>
        <v>45484</v>
      </c>
      <c r="G8" s="169">
        <f>IF(AND(YEAR(July1OffSet+13)=BegCalYear,MONTH(July1OffSet+13)=7),July1OffSet+13,"")</f>
        <v>45485</v>
      </c>
      <c r="H8" s="76"/>
      <c r="I8" s="258"/>
      <c r="J8" s="88">
        <f>IF(AND(YEAR(OctOffSet+9)=BegCalYear,MONTH(OctOffSet+9)=10),OctOffSet+9,"")</f>
        <v>45572</v>
      </c>
      <c r="K8" s="168">
        <f>IF(AND(YEAR(OctOffSet+10)=BegCalYear,MONTH(OctOffSet+10)=10),OctOffSet+10,"")</f>
        <v>45573</v>
      </c>
      <c r="L8" s="168">
        <f>IF(AND(YEAR(OctOffSet+11)=BegCalYear,MONTH(OctOffSet+11)=10),OctOffSet+11,"")</f>
        <v>45574</v>
      </c>
      <c r="M8" s="168">
        <f>IF(AND(YEAR(OctOffSet+12)=BegCalYear,MONTH(OctOffSet+12)=10),OctOffSet+12,"")</f>
        <v>45575</v>
      </c>
      <c r="N8" s="169">
        <f>IF(AND(YEAR(OctOffSet+13)=BegCalYear,MONTH(OctOffSet+13)=10),OctOffSet+13,"")</f>
        <v>45576</v>
      </c>
      <c r="O8" s="26"/>
      <c r="P8" s="261"/>
      <c r="Q8" s="88">
        <f>IF(AND(YEAR(JanOffSet+9)=CalendarYear,MONTH(JanOffSet+9)=1),JanOffSet+9,"")</f>
        <v>45663</v>
      </c>
      <c r="R8" s="168">
        <f>IF(AND(YEAR(JanOffSet+10)=CalendarYear,MONTH(JanOffSet+10)=1),JanOffSet+10,"")</f>
        <v>45664</v>
      </c>
      <c r="S8" s="168">
        <f>IF(AND(YEAR(JanOffSet+11)=CalendarYear,MONTH(JanOffSet+11)=1),JanOffSet+11,"")</f>
        <v>45665</v>
      </c>
      <c r="T8" s="168">
        <f>IF(AND(YEAR(JanOffSet+12)=CalendarYear,MONTH(JanOffSet+12)=1),JanOffSet+12,"")</f>
        <v>45666</v>
      </c>
      <c r="U8" s="169">
        <f>IF(AND(YEAR(JanOffSet+13)=CalendarYear,MONTH(JanOffSet+13)=1),JanOffSet+13,"")</f>
        <v>45667</v>
      </c>
      <c r="V8" s="26"/>
      <c r="W8" s="242"/>
      <c r="X8" s="88">
        <f>IF(AND(YEAR(AprOffSet+9)=CalendarYear,MONTH(AprOffSet+9)=4),AprOffSet+9,"")</f>
        <v>45754</v>
      </c>
      <c r="Y8" s="168">
        <f>IF(AND(YEAR(AprOffSet+10)=CalendarYear,MONTH(AprOffSet+10)=4),AprOffSet+10,"")</f>
        <v>45755</v>
      </c>
      <c r="Z8" s="168">
        <f>IF(AND(YEAR(AprOffSet+11)=CalendarYear,MONTH(AprOffSet+11)=4),AprOffSet+11,"")</f>
        <v>45756</v>
      </c>
      <c r="AA8" s="168">
        <f>IF(AND(YEAR(AprOffSet+12)=CalendarYear,MONTH(AprOffSet+12)=4),AprOffSet+12,"")</f>
        <v>45757</v>
      </c>
      <c r="AB8" s="169">
        <f>IF(AND(YEAR(AprOffSet+13)=CalendarYear,MONTH(AprOffSet+13)=4),AprOffSet+13,"")</f>
        <v>45758</v>
      </c>
      <c r="AC8" s="35"/>
      <c r="AD8" s="12"/>
      <c r="AE8" s="91"/>
      <c r="AF8" s="91"/>
      <c r="AG8" s="1"/>
      <c r="AH8" s="1"/>
    </row>
    <row r="9" spans="1:34" ht="15" customHeight="1" x14ac:dyDescent="0.25">
      <c r="A9" s="25"/>
      <c r="B9" s="293"/>
      <c r="C9" s="165"/>
      <c r="D9" s="166"/>
      <c r="E9" s="166"/>
      <c r="F9" s="166"/>
      <c r="G9" s="167"/>
      <c r="H9" s="76"/>
      <c r="I9" s="258"/>
      <c r="J9" s="165"/>
      <c r="K9" s="166"/>
      <c r="L9" s="166"/>
      <c r="M9" s="166"/>
      <c r="N9" s="167"/>
      <c r="O9" s="28"/>
      <c r="P9" s="261"/>
      <c r="Q9" s="165"/>
      <c r="R9" s="166"/>
      <c r="S9" s="166"/>
      <c r="T9" s="166"/>
      <c r="U9" s="167"/>
      <c r="V9" s="26"/>
      <c r="W9" s="242"/>
      <c r="X9" s="165"/>
      <c r="Y9" s="166"/>
      <c r="Z9" s="166"/>
      <c r="AA9" s="166"/>
      <c r="AB9" s="167"/>
      <c r="AC9" s="35"/>
      <c r="AD9" s="12"/>
      <c r="AE9" s="41"/>
      <c r="AF9" s="41"/>
    </row>
    <row r="10" spans="1:34" x14ac:dyDescent="0.25">
      <c r="A10" s="19"/>
      <c r="B10" s="293"/>
      <c r="C10" s="88">
        <f>IF(AND(YEAR(July1OffSet+16)=BegCalYear,MONTH(July1OffSet+16)=7),July1OffSet+16,"")</f>
        <v>45488</v>
      </c>
      <c r="D10" s="168">
        <f>IF(AND(YEAR(July1OffSet+17)=BegCalYear,MONTH(July1OffSet+17)=7),July1OffSet+17,"")</f>
        <v>45489</v>
      </c>
      <c r="E10" s="168">
        <f>IF(AND(YEAR(July1OffSet+18)=BegCalYear,MONTH(July1OffSet+18)=7),July1OffSet+18,"")</f>
        <v>45490</v>
      </c>
      <c r="F10" s="168">
        <f>IF(AND(YEAR(July1OffSet+19)=BegCalYear,MONTH(July1OffSet+19)=7),July1OffSet+19,"")</f>
        <v>45491</v>
      </c>
      <c r="G10" s="169">
        <f>IF(AND(YEAR(July1OffSet+20)=BegCalYear,MONTH(July1OffSet+20)=7),July1OffSet+20,"")</f>
        <v>45492</v>
      </c>
      <c r="H10" s="76"/>
      <c r="I10" s="258"/>
      <c r="J10" s="88">
        <f>IF(AND(YEAR(OctOffSet+16)=BegCalYear,MONTH(OctOffSet+16)=10),OctOffSet+16,"")</f>
        <v>45579</v>
      </c>
      <c r="K10" s="168">
        <f>IF(AND(YEAR(OctOffSet+17)=BegCalYear,MONTH(OctOffSet+17)=10),OctOffSet+17,"")</f>
        <v>45580</v>
      </c>
      <c r="L10" s="168">
        <f>IF(AND(YEAR(OctOffSet+18)=BegCalYear,MONTH(OctOffSet+18)=10),OctOffSet+18,"")</f>
        <v>45581</v>
      </c>
      <c r="M10" s="168">
        <f>IF(AND(YEAR(OctOffSet+19)=BegCalYear,MONTH(OctOffSet+19)=10),OctOffSet+19,"")</f>
        <v>45582</v>
      </c>
      <c r="N10" s="169">
        <f>IF(AND(YEAR(OctOffSet+20)=BegCalYear,MONTH(OctOffSet+20)=10),OctOffSet+20,"")</f>
        <v>45583</v>
      </c>
      <c r="O10" s="26"/>
      <c r="P10" s="261"/>
      <c r="Q10" s="88">
        <f>IF(AND(YEAR(JanOffSet+16)=CalendarYear,MONTH(JanOffSet+16)=1),JanOffSet+16,"")</f>
        <v>45670</v>
      </c>
      <c r="R10" s="168">
        <f>IF(AND(YEAR(JanOffSet+17)=CalendarYear,MONTH(JanOffSet+17)=1),JanOffSet+17,"")</f>
        <v>45671</v>
      </c>
      <c r="S10" s="168">
        <f>IF(AND(YEAR(JanOffSet+18)=CalendarYear,MONTH(JanOffSet+18)=1),JanOffSet+18,"")</f>
        <v>45672</v>
      </c>
      <c r="T10" s="168">
        <f>IF(AND(YEAR(JanOffSet+19)=CalendarYear,MONTH(JanOffSet+19)=1),JanOffSet+19,"")</f>
        <v>45673</v>
      </c>
      <c r="U10" s="169">
        <f>IF(AND(YEAR(JanOffSet+20)=CalendarYear,MONTH(JanOffSet+20)=1),JanOffSet+20,"")</f>
        <v>45674</v>
      </c>
      <c r="V10" s="26"/>
      <c r="W10" s="242"/>
      <c r="X10" s="88">
        <f>IF(AND(YEAR(AprOffSet+16)=CalendarYear,MONTH(AprOffSet+16)=4),AprOffSet+16,"")</f>
        <v>45761</v>
      </c>
      <c r="Y10" s="168">
        <f>IF(AND(YEAR(AprOffSet+17)=CalendarYear,MONTH(AprOffSet+17)=4),AprOffSet+17,"")</f>
        <v>45762</v>
      </c>
      <c r="Z10" s="168">
        <f>IF(AND(YEAR(AprOffSet+18)=CalendarYear,MONTH(AprOffSet+18)=4),AprOffSet+18,"")</f>
        <v>45763</v>
      </c>
      <c r="AA10" s="168">
        <f>IF(AND(YEAR(AprOffSet+19)=CalendarYear,MONTH(AprOffSet+19)=4),AprOffSet+19,"")</f>
        <v>45764</v>
      </c>
      <c r="AB10" s="169">
        <f>IF(AND(YEAR(AprOffSet+20)=CalendarYear,MONTH(AprOffSet+20)=4),AprOffSet+20,"")</f>
        <v>45765</v>
      </c>
      <c r="AC10" s="35"/>
      <c r="AD10" s="12"/>
      <c r="AE10" s="41"/>
      <c r="AF10" s="41"/>
    </row>
    <row r="11" spans="1:34" x14ac:dyDescent="0.25">
      <c r="A11" s="19"/>
      <c r="B11" s="293"/>
      <c r="C11" s="165"/>
      <c r="D11" s="166"/>
      <c r="E11" s="166"/>
      <c r="F11" s="166"/>
      <c r="G11" s="167"/>
      <c r="H11" s="26" t="s">
        <v>10</v>
      </c>
      <c r="I11" s="258"/>
      <c r="J11" s="165"/>
      <c r="K11" s="166"/>
      <c r="L11" s="166"/>
      <c r="M11" s="166"/>
      <c r="N11" s="167"/>
      <c r="O11" s="26" t="s">
        <v>11</v>
      </c>
      <c r="P11" s="261"/>
      <c r="Q11" s="165"/>
      <c r="R11" s="166"/>
      <c r="S11" s="166"/>
      <c r="T11" s="166"/>
      <c r="U11" s="167"/>
      <c r="V11" s="77" t="s">
        <v>12</v>
      </c>
      <c r="W11" s="242"/>
      <c r="X11" s="165"/>
      <c r="Y11" s="166"/>
      <c r="Z11" s="166"/>
      <c r="AA11" s="166"/>
      <c r="AB11" s="167"/>
      <c r="AC11" s="77" t="s">
        <v>13</v>
      </c>
      <c r="AD11" s="12"/>
      <c r="AE11" s="41"/>
      <c r="AF11" s="41"/>
    </row>
    <row r="12" spans="1:34" x14ac:dyDescent="0.25">
      <c r="A12" s="19"/>
      <c r="B12" s="293"/>
      <c r="C12" s="88">
        <f>IF(AND(YEAR(July1OffSet+23)=BegCalYear,MONTH(July1OffSet+23)=7),July1OffSet+23,"")</f>
        <v>45495</v>
      </c>
      <c r="D12" s="168">
        <f>IF(AND(YEAR(July1OffSet+24)=BegCalYear,MONTH(July1OffSet+24)=7),July1OffSet+24,"")</f>
        <v>45496</v>
      </c>
      <c r="E12" s="168">
        <f>IF(AND(YEAR(July1OffSet+25)=BegCalYear,MONTH(July1OffSet+25)=7),July1OffSet+25,"")</f>
        <v>45497</v>
      </c>
      <c r="F12" s="168">
        <f>IF(AND(YEAR(July1OffSet+26)=BegCalYear,MONTH(July1OffSet+26)=7),July1OffSet+26,"")</f>
        <v>45498</v>
      </c>
      <c r="G12" s="169">
        <f>IF(AND(YEAR(July1OffSet+27)=BegCalYear,MONTH(July1OffSet+27)=7),July1OffSet+27,"")</f>
        <v>45499</v>
      </c>
      <c r="H12" s="26" t="s">
        <v>14</v>
      </c>
      <c r="I12" s="258"/>
      <c r="J12" s="88">
        <f>IF(AND(YEAR(OctOffSet+23)=BegCalYear,MONTH(OctOffSet+23)=10),OctOffSet+23,"")</f>
        <v>45586</v>
      </c>
      <c r="K12" s="168">
        <f>IF(AND(YEAR(OctOffSet+24)=BegCalYear,MONTH(OctOffSet+24)=10),OctOffSet+24,"")</f>
        <v>45587</v>
      </c>
      <c r="L12" s="168">
        <f>IF(AND(YEAR(OctOffSet+25)=BegCalYear,MONTH(OctOffSet+25)=10),OctOffSet+25,"")</f>
        <v>45588</v>
      </c>
      <c r="M12" s="168">
        <f>IF(AND(YEAR(OctOffSet+26)=BegCalYear,MONTH(OctOffSet+26)=10),OctOffSet+26,"")</f>
        <v>45589</v>
      </c>
      <c r="N12" s="169">
        <f>IF(AND(YEAR(OctOffSet+27)=BegCalYear,MONTH(OctOffSet+27)=10),OctOffSet+27,"")</f>
        <v>45590</v>
      </c>
      <c r="O12" s="26" t="s">
        <v>14</v>
      </c>
      <c r="P12" s="261"/>
      <c r="Q12" s="88">
        <f>IF(AND(YEAR(JanOffSet+23)=CalendarYear,MONTH(JanOffSet+23)=1),JanOffSet+23,"")</f>
        <v>45677</v>
      </c>
      <c r="R12" s="168">
        <f>IF(AND(YEAR(JanOffSet+24)=CalendarYear,MONTH(JanOffSet+24)=1),JanOffSet+24,"")</f>
        <v>45678</v>
      </c>
      <c r="S12" s="168">
        <f>IF(AND(YEAR(JanOffSet+25)=CalendarYear,MONTH(JanOffSet+25)=1),JanOffSet+25,"")</f>
        <v>45679</v>
      </c>
      <c r="T12" s="168">
        <f>IF(AND(YEAR(JanOffSet+26)=CalendarYear,MONTH(JanOffSet+26)=1),JanOffSet+26,"")</f>
        <v>45680</v>
      </c>
      <c r="U12" s="169">
        <f>IF(AND(YEAR(JanOffSet+27)=CalendarYear,MONTH(JanOffSet+27)=1),JanOffSet+27,"")</f>
        <v>45681</v>
      </c>
      <c r="V12" s="26" t="s">
        <v>14</v>
      </c>
      <c r="W12" s="242"/>
      <c r="X12" s="88">
        <f>IF(AND(YEAR(AprOffSet+23)=CalendarYear,MONTH(AprOffSet+23)=4),AprOffSet+23,"")</f>
        <v>45768</v>
      </c>
      <c r="Y12" s="168">
        <f>IF(AND(YEAR(AprOffSet+24)=CalendarYear,MONTH(AprOffSet+24)=4),AprOffSet+24,"")</f>
        <v>45769</v>
      </c>
      <c r="Z12" s="168">
        <f>IF(AND(YEAR(AprOffSet+25)=CalendarYear,MONTH(AprOffSet+25)=4),AprOffSet+25,"")</f>
        <v>45770</v>
      </c>
      <c r="AA12" s="168">
        <f>IF(AND(YEAR(AprOffSet+26)=CalendarYear,MONTH(AprOffSet+26)=4),AprOffSet+26,"")</f>
        <v>45771</v>
      </c>
      <c r="AB12" s="169">
        <f>IF(AND(YEAR(AprOffSet+27)=CalendarYear,MONTH(AprOffSet+27)=4),AprOffSet+27,"")</f>
        <v>45772</v>
      </c>
      <c r="AC12" s="26" t="s">
        <v>14</v>
      </c>
      <c r="AD12" s="12"/>
      <c r="AE12" s="41"/>
      <c r="AF12" s="41"/>
    </row>
    <row r="13" spans="1:34" x14ac:dyDescent="0.25">
      <c r="A13" s="19"/>
      <c r="B13" s="293"/>
      <c r="C13" s="165"/>
      <c r="D13" s="166"/>
      <c r="E13" s="166"/>
      <c r="F13" s="166"/>
      <c r="G13" s="167"/>
      <c r="H13" s="77" t="s">
        <v>15</v>
      </c>
      <c r="I13" s="258"/>
      <c r="J13" s="165"/>
      <c r="K13" s="166"/>
      <c r="L13" s="166"/>
      <c r="M13" s="166"/>
      <c r="N13" s="167"/>
      <c r="O13" s="77" t="s">
        <v>15</v>
      </c>
      <c r="P13" s="261"/>
      <c r="Q13" s="165"/>
      <c r="R13" s="166"/>
      <c r="S13" s="166"/>
      <c r="T13" s="166"/>
      <c r="U13" s="167"/>
      <c r="V13" s="77" t="s">
        <v>15</v>
      </c>
      <c r="W13" s="242"/>
      <c r="X13" s="165"/>
      <c r="Y13" s="166"/>
      <c r="Z13" s="166"/>
      <c r="AA13" s="166"/>
      <c r="AB13" s="167"/>
      <c r="AC13" s="77" t="s">
        <v>15</v>
      </c>
      <c r="AD13" s="12"/>
      <c r="AE13" s="41"/>
      <c r="AF13" s="41"/>
    </row>
    <row r="14" spans="1:34" ht="15.75" thickBot="1" x14ac:dyDescent="0.3">
      <c r="A14" s="19"/>
      <c r="B14" s="294"/>
      <c r="C14" s="89">
        <f>IF(AND(YEAR(July1OffSet+30)=BegCalYear,MONTH(July1OffSet+30)=7),July1OffSet+30,"")</f>
        <v>45502</v>
      </c>
      <c r="D14" s="96">
        <f>IF(AND(YEAR(July1OffSet+31)=BegCalYear,MONTH(July1OffSet+31)=7),July1OffSet+31,"")</f>
        <v>45503</v>
      </c>
      <c r="E14" s="96">
        <f>IF(AND(YEAR(July1OffSet+32)=BegCalYear,MONTH(July1OffSet+32)=7),July1OffSet+32,"")</f>
        <v>45504</v>
      </c>
      <c r="F14" s="96" t="str">
        <f>IF(AND(YEAR(July1OffSet+33)=BegCalYear,MONTH(July1OffSet+33)=7),July1OffSet+33,"")</f>
        <v/>
      </c>
      <c r="G14" s="90" t="str">
        <f>IF(AND(YEAR(July1OffSet+34)=BegCalYear,MONTH(July1OffSet+34)=7),July1OffSet+34,"")</f>
        <v/>
      </c>
      <c r="H14" s="78">
        <f>ROUNDDOWN(SUM(SUM(C5:G5,C7:G7,C9:G9,C11:G11,C13:G13)/8),1)</f>
        <v>0</v>
      </c>
      <c r="I14" s="259"/>
      <c r="J14" s="89">
        <f>IF(AND(YEAR(OctOffSet+30)=BegCalYear,MONTH(OctOffSet+30)=10),OctOffSet+30,"")</f>
        <v>45593</v>
      </c>
      <c r="K14" s="96">
        <f>IF(AND(YEAR(OctOffSet+31)=BegCalYear,MONTH(OctOffSet+31)=10),OctOffSet+31,"")</f>
        <v>45594</v>
      </c>
      <c r="L14" s="96">
        <f>IF(AND(YEAR(OctOffSet+32)=BegCalYear,MONTH(OctOffSet+32)=10),OctOffSet+32,"")</f>
        <v>45595</v>
      </c>
      <c r="M14" s="96">
        <f>IF(AND(YEAR(OctOffSet+33)=BegCalYear,MONTH(OctOffSet+33)=10),OctOffSet+33,"")</f>
        <v>45596</v>
      </c>
      <c r="N14" s="90" t="str">
        <f>IF(AND(YEAR(OctOffSet+34)=BegCalYear,MONTH(OctOffSet+34)=10),OctOffSet+34,"")</f>
        <v/>
      </c>
      <c r="O14" s="78">
        <f>ROUNDDOWN(SUM(SUM(J5:N5,J7:N7,J9:N9,J11:N11,J13:N13)/8),1)</f>
        <v>0</v>
      </c>
      <c r="P14" s="262"/>
      <c r="Q14" s="89">
        <f>IF(AND(YEAR(JanOffSet+30)=CalendarYear,MONTH(JanOffSet+30)=1),JanOffSet+30,"")</f>
        <v>45684</v>
      </c>
      <c r="R14" s="96">
        <f>IF(AND(YEAR(JanOffSet+31)=CalendarYear,MONTH(JanOffSet+31)=1),JanOffSet+31,"")</f>
        <v>45685</v>
      </c>
      <c r="S14" s="96">
        <f>IF(AND(YEAR(JanOffSet+32)=CalendarYear,MONTH(JanOffSet+32)=1),JanOffSet+32,"")</f>
        <v>45686</v>
      </c>
      <c r="T14" s="96">
        <f>IF(AND(YEAR(JanOffSet+33)=CalendarYear,MONTH(JanOffSet+33)=1),JanOffSet+33,"")</f>
        <v>45687</v>
      </c>
      <c r="U14" s="90">
        <f>IF(AND(YEAR(JanOffSet+34)=CalendarYear,MONTH(JanOffSet+34)=1),JanOffSet+34,"")</f>
        <v>45688</v>
      </c>
      <c r="V14" s="78">
        <f>ROUNDDOWN(SUM(SUM(Q5:U5,Q7:U7,Q9:U9,Q11:U11,Q13:U13)/8),1)</f>
        <v>0</v>
      </c>
      <c r="W14" s="254"/>
      <c r="X14" s="89">
        <f>IF(AND(YEAR(AprOffSet+30)=CalendarYear,MONTH(AprOffSet+30)=4),AprOffSet+30,"")</f>
        <v>45775</v>
      </c>
      <c r="Y14" s="96">
        <f>IF(AND(YEAR(AprOffSet+31)=CalendarYear,MONTH(AprOffSet+31)=4),AprOffSet+31,"")</f>
        <v>45776</v>
      </c>
      <c r="Z14" s="96">
        <f>IF(AND(YEAR(AprOffSet+32)=CalendarYear,MONTH(AprOffSet+32)=4),AprOffSet+32,"")</f>
        <v>45777</v>
      </c>
      <c r="AA14" s="96" t="str">
        <f>IF(AND(YEAR(AprOffSet+33)=CalendarYear,MONTH(AprOffSet+33)=4),AprOffSet+33,"")</f>
        <v/>
      </c>
      <c r="AB14" s="90" t="str">
        <f>IF(AND(YEAR(AprOffSet+34)=CalendarYear,MONTH(AprOffSet+34)=4),AprOffSet+34,"")</f>
        <v/>
      </c>
      <c r="AC14" s="78">
        <f>ROUNDDOWN(SUM(SUM(X5:AB5,X7:AB7,X11:AB11,X13:AB13,X9:AB9)/8),1)</f>
        <v>0</v>
      </c>
      <c r="AD14" s="12"/>
      <c r="AE14" s="41"/>
      <c r="AF14" s="41"/>
    </row>
    <row r="15" spans="1:34" ht="15.75" thickBot="1" x14ac:dyDescent="0.3">
      <c r="A15" s="19"/>
      <c r="B15" s="17"/>
      <c r="C15" s="26"/>
      <c r="D15" s="26"/>
      <c r="E15" s="26"/>
      <c r="F15" s="26"/>
      <c r="G15" s="26"/>
      <c r="H15" s="77"/>
      <c r="I15" s="25"/>
      <c r="J15" s="26"/>
      <c r="K15" s="26"/>
      <c r="L15" s="26"/>
      <c r="M15" s="26"/>
      <c r="N15" s="26"/>
      <c r="O15" s="77"/>
      <c r="P15" s="25"/>
      <c r="Q15" s="26"/>
      <c r="R15" s="26"/>
      <c r="S15" s="26"/>
      <c r="T15" s="26"/>
      <c r="U15" s="26"/>
      <c r="V15" s="77"/>
      <c r="W15" s="25"/>
      <c r="X15" s="26"/>
      <c r="Y15" s="26"/>
      <c r="Z15" s="26"/>
      <c r="AA15" s="26"/>
      <c r="AB15" s="26"/>
      <c r="AC15" s="77"/>
      <c r="AD15" s="12"/>
      <c r="AE15" s="41"/>
      <c r="AF15" s="41"/>
    </row>
    <row r="16" spans="1:34" ht="15" customHeight="1" x14ac:dyDescent="0.25">
      <c r="A16" s="19"/>
      <c r="B16" s="269" t="s">
        <v>16</v>
      </c>
      <c r="C16" s="162"/>
      <c r="D16" s="163"/>
      <c r="E16" s="163"/>
      <c r="F16" s="163"/>
      <c r="G16" s="164"/>
      <c r="H16" s="77"/>
      <c r="I16" s="241" t="s">
        <v>17</v>
      </c>
      <c r="J16" s="162"/>
      <c r="K16" s="163"/>
      <c r="L16" s="163"/>
      <c r="M16" s="163"/>
      <c r="N16" s="164"/>
      <c r="O16" s="77"/>
      <c r="P16" s="257" t="s">
        <v>18</v>
      </c>
      <c r="Q16" s="162"/>
      <c r="R16" s="163"/>
      <c r="S16" s="163"/>
      <c r="T16" s="163"/>
      <c r="U16" s="164"/>
      <c r="V16" s="77"/>
      <c r="W16" s="257" t="s">
        <v>19</v>
      </c>
      <c r="X16" s="162"/>
      <c r="Y16" s="163"/>
      <c r="Z16" s="163"/>
      <c r="AA16" s="163"/>
      <c r="AB16" s="164"/>
      <c r="AC16" s="77"/>
      <c r="AD16" s="12"/>
      <c r="AE16" s="41"/>
      <c r="AF16" s="41"/>
    </row>
    <row r="17" spans="1:32" x14ac:dyDescent="0.25">
      <c r="A17" s="19"/>
      <c r="B17" s="270"/>
      <c r="C17" s="88" t="str">
        <f>IF(AND(YEAR(AugOffSet+2)=BegCalYear,MONTH(AugOffSet+2)=8),AugOffSet+2,"")</f>
        <v/>
      </c>
      <c r="D17" s="168" t="str">
        <f>IF(AND(YEAR(AugOffSet+3)=BegCalYear,MONTH(AugOffSet+3)=8),AugOffSet+3,"")</f>
        <v/>
      </c>
      <c r="E17" s="168" t="str">
        <f>IF(AND(YEAR(AugOffSet+4)=BegCalYear,MONTH(AugOffSet+4)=8),AugOffSet+4,"")</f>
        <v/>
      </c>
      <c r="F17" s="168">
        <f>IF(AND(YEAR(AugOffSet+5)=BegCalYear,MONTH(AugOffSet+5)=8),AugOffSet+5,"")</f>
        <v>45505</v>
      </c>
      <c r="G17" s="169">
        <f>IF(AND(YEAR(AugOffSet+6)=BegCalYear,MONTH(AugOffSet+6)=8),AugOffSet+6,"")</f>
        <v>45506</v>
      </c>
      <c r="H17" s="77"/>
      <c r="I17" s="242"/>
      <c r="J17" s="88"/>
      <c r="K17" s="168" t="str">
        <f>IF(AND(YEAR(NovOffSet+3)=BegCalYear,MONTH(NovOffSet+3)=11),NovOffSet+3,"")</f>
        <v/>
      </c>
      <c r="L17" s="168" t="str">
        <f>IF(AND(YEAR(NovOffSet+4)=BegCalYear,MONTH(NovOffSet+4)=11),NovOffSet+4,"")</f>
        <v/>
      </c>
      <c r="M17" s="168" t="str">
        <f>IF(AND(YEAR(NovOffSet+5)=BegCalYear,MONTH(NovOffSet+5)=11),NovOffSet+5,"")</f>
        <v/>
      </c>
      <c r="N17" s="169">
        <f>IF(AND(YEAR(NovOffSet+6)=BegCalYear,MONTH(NovOffSet+6)=11),NovOffSet+6,"")</f>
        <v>45597</v>
      </c>
      <c r="O17" s="77"/>
      <c r="P17" s="258"/>
      <c r="Q17" s="88"/>
      <c r="R17" s="168" t="str">
        <f>IF(AND(YEAR(FebOffSet+3)=CalendarYear,MONTH(FebOffSet+3)=2),FebOffSet+3,"")</f>
        <v/>
      </c>
      <c r="S17" s="168" t="str">
        <f>IF(AND(YEAR(FebOffSet+4)=CalendarYear,MONTH(FebOffSet+4)=2),FebOffSet+4,"")</f>
        <v/>
      </c>
      <c r="T17" s="168" t="str">
        <f>IF(AND(YEAR(FebOffSet+5)=CalendarYear,MONTH(FebOffSet+5)=2),FebOffSet+5,"")</f>
        <v/>
      </c>
      <c r="U17" s="169" t="str">
        <f>IF(AND(YEAR(FebOffSet+6)=CalendarYear,MONTH(FebOffSet+6)=2),FebOffSet+6,"")</f>
        <v/>
      </c>
      <c r="V17" s="77"/>
      <c r="W17" s="258"/>
      <c r="X17" s="88" t="str">
        <f>IF(AND(YEAR(MayOffSet+2)=CalendarYear,MONTH(MayOffSet+2)=5),MayOffSet+2,"")</f>
        <v/>
      </c>
      <c r="Y17" s="168" t="str">
        <f>IF(AND(YEAR(MayOffSet+3)=CalendarYear,MONTH(MayOffSet+3)=5),MayOffSet+3,"")</f>
        <v/>
      </c>
      <c r="Z17" s="168" t="str">
        <f>IF(AND(YEAR(MayOffSet+4)=CalendarYear,MONTH(MayOffSet+4)=5),MayOffSet+4,"")</f>
        <v/>
      </c>
      <c r="AA17" s="168">
        <f>IF(AND(YEAR(MayOffSet+5)=CalendarYear,MONTH(MayOffSet+5)=5),MayOffSet+5,"")</f>
        <v>45778</v>
      </c>
      <c r="AB17" s="169">
        <f>IF(AND(YEAR(MayOffSet+6)=CalendarYear,MONTH(MayOffSet+6)=5),MayOffSet+6,"")</f>
        <v>45779</v>
      </c>
      <c r="AC17" s="77"/>
      <c r="AD17" s="12"/>
      <c r="AE17" s="41"/>
      <c r="AF17" s="41"/>
    </row>
    <row r="18" spans="1:32" x14ac:dyDescent="0.25">
      <c r="A18" s="19"/>
      <c r="B18" s="270"/>
      <c r="C18" s="165"/>
      <c r="D18" s="166"/>
      <c r="E18" s="166"/>
      <c r="F18" s="166"/>
      <c r="G18" s="167"/>
      <c r="H18" s="77"/>
      <c r="I18" s="242"/>
      <c r="J18" s="165"/>
      <c r="K18" s="166"/>
      <c r="L18" s="166"/>
      <c r="M18" s="166"/>
      <c r="N18" s="167"/>
      <c r="O18" s="77"/>
      <c r="P18" s="258"/>
      <c r="Q18" s="165"/>
      <c r="R18" s="166"/>
      <c r="S18" s="166"/>
      <c r="T18" s="166"/>
      <c r="U18" s="167"/>
      <c r="V18" s="77"/>
      <c r="W18" s="258"/>
      <c r="X18" s="165"/>
      <c r="Y18" s="166"/>
      <c r="Z18" s="166"/>
      <c r="AA18" s="166"/>
      <c r="AB18" s="167"/>
      <c r="AC18" s="77"/>
      <c r="AD18" s="12"/>
      <c r="AE18" s="41"/>
      <c r="AF18" s="41"/>
    </row>
    <row r="19" spans="1:32" x14ac:dyDescent="0.25">
      <c r="A19" s="19"/>
      <c r="B19" s="270"/>
      <c r="C19" s="88">
        <f>IF(AND(YEAR(AugOffSet+9)=BegCalYear,MONTH(AugOffSet+9)=8),AugOffSet+9,"")</f>
        <v>45509</v>
      </c>
      <c r="D19" s="168">
        <f>IF(AND(YEAR(AugOffSet+10)=BegCalYear,MONTH(AugOffSet+10)=8),AugOffSet+10,"")</f>
        <v>45510</v>
      </c>
      <c r="E19" s="168">
        <f>IF(AND(YEAR(AugOffSet+11)=BegCalYear,MONTH(AugOffSet+11)=8),AugOffSet+11,"")</f>
        <v>45511</v>
      </c>
      <c r="F19" s="168">
        <f>IF(AND(YEAR(AugOffSet+12)=BegCalYear,MONTH(AugOffSet+12)=8),AugOffSet+12,"")</f>
        <v>45512</v>
      </c>
      <c r="G19" s="169">
        <f>IF(AND(YEAR(AugOffSet+13)=BegCalYear,MONTH(AugOffSet+13)=8),AugOffSet+13,"")</f>
        <v>45513</v>
      </c>
      <c r="H19" s="77"/>
      <c r="I19" s="242"/>
      <c r="J19" s="88">
        <f>IF(AND(YEAR(NovOffSet+9)=BegCalYear,MONTH(NovOffSet+9)=11),NovOffSet+9,"")</f>
        <v>45600</v>
      </c>
      <c r="K19" s="168">
        <f>IF(AND(YEAR(NovOffSet+10)=BegCalYear,MONTH(NovOffSet+10)=11),NovOffSet+10,"")</f>
        <v>45601</v>
      </c>
      <c r="L19" s="168">
        <f>IF(AND(YEAR(NovOffSet+11)=BegCalYear,MONTH(NovOffSet+11)=11),NovOffSet+11,"")</f>
        <v>45602</v>
      </c>
      <c r="M19" s="168">
        <f>IF(AND(YEAR(NovOffSet+12)=BegCalYear,MONTH(NovOffSet+12)=11),NovOffSet+12,"")</f>
        <v>45603</v>
      </c>
      <c r="N19" s="169">
        <f>IF(AND(YEAR(NovOffSet+13)=BegCalYear,MONTH(NovOffSet+13)=11),NovOffSet+13,"")</f>
        <v>45604</v>
      </c>
      <c r="O19" s="77"/>
      <c r="P19" s="258"/>
      <c r="Q19" s="88">
        <f>IF(AND(YEAR(FebOffSet+9)=CalendarYear,MONTH(FebOffSet+9)=2),FebOffSet+9,"")</f>
        <v>45691</v>
      </c>
      <c r="R19" s="168">
        <f>IF(AND(YEAR(FebOffSet+10)=CalendarYear,MONTH(FebOffSet+10)=2),FebOffSet+10,"")</f>
        <v>45692</v>
      </c>
      <c r="S19" s="168">
        <f>IF(AND(YEAR(FebOffSet+11)=CalendarYear,MONTH(FebOffSet+11)=2),FebOffSet+11,"")</f>
        <v>45693</v>
      </c>
      <c r="T19" s="168">
        <f>IF(AND(YEAR(FebOffSet+12)=CalendarYear,MONTH(FebOffSet+12)=2),FebOffSet+12,"")</f>
        <v>45694</v>
      </c>
      <c r="U19" s="169">
        <f>IF(AND(YEAR(FebOffSet+13)=CalendarYear,MONTH(FebOffSet+13)=2),FebOffSet+13,"")</f>
        <v>45695</v>
      </c>
      <c r="V19" s="77"/>
      <c r="W19" s="258"/>
      <c r="X19" s="88">
        <f>IF(AND(YEAR(MayOffSet+9)=CalendarYear,MONTH(MayOffSet+9)=5),MayOffSet+9,"")</f>
        <v>45782</v>
      </c>
      <c r="Y19" s="168">
        <f>IF(AND(YEAR(MayOffSet+10)=CalendarYear,MONTH(MayOffSet+10)=5),MayOffSet+10,"")</f>
        <v>45783</v>
      </c>
      <c r="Z19" s="168">
        <f>IF(AND(YEAR(MayOffSet+11)=CalendarYear,MONTH(MayOffSet+11)=5),MayOffSet+11,"")</f>
        <v>45784</v>
      </c>
      <c r="AA19" s="168">
        <f>IF(AND(YEAR(MayOffSet+12)=CalendarYear,MONTH(MayOffSet+12)=5),MayOffSet+12,"")</f>
        <v>45785</v>
      </c>
      <c r="AB19" s="169">
        <f>IF(AND(YEAR(MayOffSet+13)=CalendarYear,MONTH(MayOffSet+13)=5),MayOffSet+13,"")</f>
        <v>45786</v>
      </c>
      <c r="AC19" s="77"/>
      <c r="AD19" s="12"/>
      <c r="AE19" s="41"/>
      <c r="AF19" s="41"/>
    </row>
    <row r="20" spans="1:32" x14ac:dyDescent="0.25">
      <c r="A20" s="19"/>
      <c r="B20" s="270"/>
      <c r="C20" s="165"/>
      <c r="D20" s="166"/>
      <c r="E20" s="166"/>
      <c r="F20" s="166"/>
      <c r="G20" s="167"/>
      <c r="H20" s="77"/>
      <c r="I20" s="242"/>
      <c r="J20" s="165"/>
      <c r="K20" s="166"/>
      <c r="L20" s="166"/>
      <c r="M20" s="166"/>
      <c r="N20" s="167"/>
      <c r="O20" s="77"/>
      <c r="P20" s="258"/>
      <c r="Q20" s="165"/>
      <c r="R20" s="166"/>
      <c r="S20" s="166"/>
      <c r="T20" s="166"/>
      <c r="U20" s="167"/>
      <c r="V20" s="77"/>
      <c r="W20" s="258"/>
      <c r="X20" s="165"/>
      <c r="Y20" s="166"/>
      <c r="Z20" s="166"/>
      <c r="AA20" s="166"/>
      <c r="AB20" s="167"/>
      <c r="AC20" s="77"/>
      <c r="AD20" s="12"/>
      <c r="AE20" s="41"/>
      <c r="AF20" s="41"/>
    </row>
    <row r="21" spans="1:32" x14ac:dyDescent="0.25">
      <c r="A21" s="19"/>
      <c r="B21" s="270"/>
      <c r="C21" s="88">
        <f>IF(AND(YEAR(AugOffSet+16)=BegCalYear,MONTH(AugOffSet+16)=8),AugOffSet+16,"")</f>
        <v>45516</v>
      </c>
      <c r="D21" s="168">
        <f>IF(AND(YEAR(AugOffSet+17)=BegCalYear,MONTH(AugOffSet+17)=8),AugOffSet+17,"")</f>
        <v>45517</v>
      </c>
      <c r="E21" s="168">
        <f>IF(AND(YEAR(AugOffSet+18)=BegCalYear,MONTH(AugOffSet+18)=8),AugOffSet+18,"")</f>
        <v>45518</v>
      </c>
      <c r="F21" s="168">
        <f>IF(AND(YEAR(AugOffSet+19)=BegCalYear,MONTH(AugOffSet+19)=8),AugOffSet+19,"")</f>
        <v>45519</v>
      </c>
      <c r="G21" s="169">
        <f>IF(AND(YEAR(AugOffSet+20)=BegCalYear,MONTH(AugOffSet+20)=8),AugOffSet+20,"")</f>
        <v>45520</v>
      </c>
      <c r="H21" s="77"/>
      <c r="I21" s="242"/>
      <c r="J21" s="88">
        <f>IF(AND(YEAR(NovOffSet+16)=BegCalYear,MONTH(NovOffSet+16)=11),NovOffSet+16,"")</f>
        <v>45607</v>
      </c>
      <c r="K21" s="168">
        <f>IF(AND(YEAR(NovOffSet+17)=BegCalYear,MONTH(NovOffSet+17)=11),NovOffSet+17,"")</f>
        <v>45608</v>
      </c>
      <c r="L21" s="168">
        <f>IF(AND(YEAR(NovOffSet+18)=BegCalYear,MONTH(NovOffSet+18)=11),NovOffSet+18,"")</f>
        <v>45609</v>
      </c>
      <c r="M21" s="168">
        <f>IF(AND(YEAR(NovOffSet+19)=BegCalYear,MONTH(NovOffSet+19)=11),NovOffSet+19,"")</f>
        <v>45610</v>
      </c>
      <c r="N21" s="169">
        <f>IF(AND(YEAR(NovOffSet+20)=BegCalYear,MONTH(NovOffSet+20)=11),NovOffSet+20,"")</f>
        <v>45611</v>
      </c>
      <c r="O21" s="77"/>
      <c r="P21" s="258"/>
      <c r="Q21" s="88">
        <f>IF(AND(YEAR(FebOffSet+16)=CalendarYear,MONTH(FebOffSet+16)=2),FebOffSet+16,"")</f>
        <v>45698</v>
      </c>
      <c r="R21" s="168">
        <f>IF(AND(YEAR(FebOffSet+17)=CalendarYear,MONTH(FebOffSet+17)=2),FebOffSet+17,"")</f>
        <v>45699</v>
      </c>
      <c r="S21" s="168">
        <f>IF(AND(YEAR(FebOffSet+18)=CalendarYear,MONTH(FebOffSet+18)=2),FebOffSet+18,"")</f>
        <v>45700</v>
      </c>
      <c r="T21" s="168">
        <f>IF(AND(YEAR(FebOffSet+19)=CalendarYear,MONTH(FebOffSet+19)=2),FebOffSet+19,"")</f>
        <v>45701</v>
      </c>
      <c r="U21" s="169">
        <f>IF(AND(YEAR(FebOffSet+20)=CalendarYear,MONTH(FebOffSet+20)=2),FebOffSet+20,"")</f>
        <v>45702</v>
      </c>
      <c r="V21" s="77"/>
      <c r="W21" s="258"/>
      <c r="X21" s="88">
        <f>IF(AND(YEAR(MayOffSet+16)=CalendarYear,MONTH(MayOffSet+16)=5),MayOffSet+16,"")</f>
        <v>45789</v>
      </c>
      <c r="Y21" s="168">
        <f>IF(AND(YEAR(MayOffSet+17)=CalendarYear,MONTH(MayOffSet+17)=5),MayOffSet+17,"")</f>
        <v>45790</v>
      </c>
      <c r="Z21" s="168">
        <f>IF(AND(YEAR(MayOffSet+18)=CalendarYear,MONTH(MayOffSet+18)=5),MayOffSet+18,"")</f>
        <v>45791</v>
      </c>
      <c r="AA21" s="168">
        <f>IF(AND(YEAR(MayOffSet+19)=CalendarYear,MONTH(MayOffSet+19)=5),MayOffSet+19,"")</f>
        <v>45792</v>
      </c>
      <c r="AB21" s="169">
        <f>IF(AND(YEAR(MayOffSet+20)=CalendarYear,MONTH(MayOffSet+20)=5),MayOffSet+20,"")</f>
        <v>45793</v>
      </c>
      <c r="AC21" s="77"/>
      <c r="AD21" s="12"/>
      <c r="AE21" s="41"/>
      <c r="AF21" s="41"/>
    </row>
    <row r="22" spans="1:32" x14ac:dyDescent="0.25">
      <c r="A22" s="17"/>
      <c r="B22" s="270"/>
      <c r="C22" s="165"/>
      <c r="D22" s="166"/>
      <c r="E22" s="166"/>
      <c r="F22" s="166"/>
      <c r="G22" s="167"/>
      <c r="H22" s="77" t="s">
        <v>20</v>
      </c>
      <c r="I22" s="242"/>
      <c r="J22" s="165"/>
      <c r="K22" s="166"/>
      <c r="L22" s="166"/>
      <c r="M22" s="166"/>
      <c r="N22" s="167"/>
      <c r="O22" s="77" t="s">
        <v>21</v>
      </c>
      <c r="P22" s="258"/>
      <c r="Q22" s="165"/>
      <c r="R22" s="166"/>
      <c r="S22" s="166"/>
      <c r="T22" s="166"/>
      <c r="U22" s="167"/>
      <c r="V22" s="77" t="s">
        <v>22</v>
      </c>
      <c r="W22" s="258"/>
      <c r="X22" s="165"/>
      <c r="Y22" s="166"/>
      <c r="Z22" s="166"/>
      <c r="AA22" s="166"/>
      <c r="AB22" s="167"/>
      <c r="AC22" s="77" t="s">
        <v>23</v>
      </c>
      <c r="AD22" s="12"/>
      <c r="AE22" s="41"/>
      <c r="AF22" s="41"/>
    </row>
    <row r="23" spans="1:32" x14ac:dyDescent="0.25">
      <c r="A23" s="17"/>
      <c r="B23" s="270"/>
      <c r="C23" s="88">
        <f>IF(AND(YEAR(AugOffSet+23)=BegCalYear,MONTH(AugOffSet+23)=8),AugOffSet+23,"")</f>
        <v>45523</v>
      </c>
      <c r="D23" s="168">
        <f>IF(AND(YEAR(AugOffSet+24)=BegCalYear,MONTH(AugOffSet+24)=8),AugOffSet+24,"")</f>
        <v>45524</v>
      </c>
      <c r="E23" s="168">
        <f>IF(AND(YEAR(AugOffSet+25)=BegCalYear,MONTH(AugOffSet+25)=8),AugOffSet+25,"")</f>
        <v>45525</v>
      </c>
      <c r="F23" s="168">
        <f>IF(AND(YEAR(AugOffSet+26)=BegCalYear,MONTH(AugOffSet+26)=8),AugOffSet+26,"")</f>
        <v>45526</v>
      </c>
      <c r="G23" s="169">
        <f>IF(AND(YEAR(AugOffSet+27)=BegCalYear,MONTH(AugOffSet+27)=8),AugOffSet+27,"")</f>
        <v>45527</v>
      </c>
      <c r="H23" s="26" t="s">
        <v>14</v>
      </c>
      <c r="I23" s="242"/>
      <c r="J23" s="88">
        <f>IF(AND(YEAR(NovOffSet+23)=BegCalYear,MONTH(NovOffSet+23)=11),NovOffSet+23,"")</f>
        <v>45614</v>
      </c>
      <c r="K23" s="168">
        <f>IF(AND(YEAR(NovOffSet+24)=BegCalYear,MONTH(NovOffSet+24)=11),NovOffSet+24,"")</f>
        <v>45615</v>
      </c>
      <c r="L23" s="168">
        <f>IF(AND(YEAR(NovOffSet+25)=BegCalYear,MONTH(NovOffSet+25)=11),NovOffSet+25,"")</f>
        <v>45616</v>
      </c>
      <c r="M23" s="168">
        <f>IF(AND(YEAR(NovOffSet+26)=BegCalYear,MONTH(NovOffSet+26)=11),NovOffSet+26,"")</f>
        <v>45617</v>
      </c>
      <c r="N23" s="169">
        <f>IF(AND(YEAR(NovOffSet+27)=BegCalYear,MONTH(NovOffSet+27)=11),NovOffSet+27,"")</f>
        <v>45618</v>
      </c>
      <c r="O23" s="26" t="s">
        <v>14</v>
      </c>
      <c r="P23" s="258"/>
      <c r="Q23" s="88">
        <f>IF(AND(YEAR(FebOffSet+23)=CalendarYear,MONTH(FebOffSet+23)=2),FebOffSet+23,"")</f>
        <v>45705</v>
      </c>
      <c r="R23" s="168">
        <f>IF(AND(YEAR(FebOffSet+24)=CalendarYear,MONTH(FebOffSet+24)=2),FebOffSet+24,"")</f>
        <v>45706</v>
      </c>
      <c r="S23" s="168">
        <f>IF(AND(YEAR(FebOffSet+25)=CalendarYear,MONTH(FebOffSet+25)=2),FebOffSet+25,"")</f>
        <v>45707</v>
      </c>
      <c r="T23" s="168">
        <f>IF(AND(YEAR(FebOffSet+26)=CalendarYear,MONTH(FebOffSet+26)=2),FebOffSet+26,"")</f>
        <v>45708</v>
      </c>
      <c r="U23" s="169">
        <f>IF(AND(YEAR(FebOffSet+27)=CalendarYear,MONTH(FebOffSet+27)=2),FebOffSet+27,"")</f>
        <v>45709</v>
      </c>
      <c r="V23" s="26" t="s">
        <v>14</v>
      </c>
      <c r="W23" s="258"/>
      <c r="X23" s="88">
        <f>IF(AND(YEAR(MayOffSet+23)=CalendarYear,MONTH(MayOffSet+23)=5),MayOffSet+23,"")</f>
        <v>45796</v>
      </c>
      <c r="Y23" s="168">
        <f>IF(AND(YEAR(MayOffSet+24)=CalendarYear,MONTH(MayOffSet+24)=5),MayOffSet+24,"")</f>
        <v>45797</v>
      </c>
      <c r="Z23" s="168">
        <f>IF(AND(YEAR(MayOffSet+25)=CalendarYear,MONTH(MayOffSet+25)=5),MayOffSet+25,"")</f>
        <v>45798</v>
      </c>
      <c r="AA23" s="168">
        <f>IF(AND(YEAR(MayOffSet+26)=CalendarYear,MONTH(MayOffSet+26)=5),MayOffSet+26,"")</f>
        <v>45799</v>
      </c>
      <c r="AB23" s="169">
        <f>IF(AND(YEAR(MayOffSet+27)=CalendarYear,MONTH(MayOffSet+27)=5),MayOffSet+27,"")</f>
        <v>45800</v>
      </c>
      <c r="AC23" s="26" t="s">
        <v>14</v>
      </c>
      <c r="AD23" s="12"/>
      <c r="AE23" s="41"/>
      <c r="AF23" s="41"/>
    </row>
    <row r="24" spans="1:32" x14ac:dyDescent="0.25">
      <c r="A24" s="17"/>
      <c r="B24" s="270"/>
      <c r="C24" s="165"/>
      <c r="D24" s="166"/>
      <c r="E24" s="166"/>
      <c r="F24" s="166"/>
      <c r="G24" s="167"/>
      <c r="H24" s="77" t="s">
        <v>15</v>
      </c>
      <c r="I24" s="242"/>
      <c r="J24" s="165"/>
      <c r="K24" s="166"/>
      <c r="L24" s="166"/>
      <c r="M24" s="166"/>
      <c r="N24" s="167"/>
      <c r="O24" s="77" t="s">
        <v>15</v>
      </c>
      <c r="P24" s="258"/>
      <c r="Q24" s="165"/>
      <c r="R24" s="166"/>
      <c r="S24" s="166"/>
      <c r="T24" s="166"/>
      <c r="U24" s="167"/>
      <c r="V24" s="77" t="s">
        <v>15</v>
      </c>
      <c r="W24" s="258"/>
      <c r="X24" s="165"/>
      <c r="Y24" s="166"/>
      <c r="Z24" s="166"/>
      <c r="AA24" s="166"/>
      <c r="AB24" s="167"/>
      <c r="AC24" s="77" t="s">
        <v>15</v>
      </c>
      <c r="AD24" s="12"/>
      <c r="AE24" s="41"/>
      <c r="AF24" s="41"/>
    </row>
    <row r="25" spans="1:32" ht="15.75" thickBot="1" x14ac:dyDescent="0.3">
      <c r="A25" s="17"/>
      <c r="B25" s="271"/>
      <c r="C25" s="89">
        <f>IF(AND(YEAR(AugOffSet+30)=BegCalYear,MONTH(AugOffSet+30)=8),AugOffSet+30,"")</f>
        <v>45530</v>
      </c>
      <c r="D25" s="96">
        <f>IF(AND(YEAR(AugOffSet+31)=BegCalYear,MONTH(AugOffSet+31)=8),AugOffSet+31,"")</f>
        <v>45531</v>
      </c>
      <c r="E25" s="96">
        <f>IF(AND(YEAR(AugOffSet+32)=BegCalYear,MONTH(AugOffSet+32)=8),AugOffSet+32,"")</f>
        <v>45532</v>
      </c>
      <c r="F25" s="96">
        <f>IF(AND(YEAR(AugOffSet+33)=BegCalYear,MONTH(AugOffSet+33)=8),AugOffSet+33,"")</f>
        <v>45533</v>
      </c>
      <c r="G25" s="90">
        <f>IF(AND(YEAR(AugOffSet+34)=BegCalYear,MONTH(AugOffSet+34)=8),AugOffSet+34,"")</f>
        <v>45534</v>
      </c>
      <c r="H25" s="78">
        <f>ROUNDDOWN(SUM(SUM(C16:G16,C18:G18,C20:G20,C22:G22,C24:G24)/8),1)</f>
        <v>0</v>
      </c>
      <c r="I25" s="254"/>
      <c r="J25" s="89">
        <f>IF(AND(YEAR(NovOffSet+30)=BegCalYear,MONTH(NovOffSet+30)=11),NovOffSet+30,"")</f>
        <v>45621</v>
      </c>
      <c r="K25" s="96">
        <f>IF(AND(YEAR(NovOffSet+31)=BegCalYear,MONTH(NovOffSet+31)=11),NovOffSet+31,"")</f>
        <v>45622</v>
      </c>
      <c r="L25" s="96">
        <f>IF(AND(YEAR(NovOffSet+32)=BegCalYear,MONTH(NovOffSet+32)=11),NovOffSet+32,"")</f>
        <v>45623</v>
      </c>
      <c r="M25" s="96">
        <f>IF(AND(YEAR(NovOffSet+33)=BegCalYear,MONTH(NovOffSet+33)=11),NovOffSet+33,"")</f>
        <v>45624</v>
      </c>
      <c r="N25" s="90">
        <f>IF(AND(YEAR(NovOffSet+34)=BegCalYear,MONTH(NovOffSet+34)=11),NovOffSet+34,"")</f>
        <v>45625</v>
      </c>
      <c r="O25" s="78">
        <f>ROUNDDOWN(SUM(SUM(J16:N16,J18:N18,J20:N20,J22:N22,J24:N24)/8),1)</f>
        <v>0</v>
      </c>
      <c r="P25" s="259"/>
      <c r="Q25" s="89">
        <f>IF(AND(YEAR(FebOffSet+30)=CalendarYear,MONTH(FebOffSet+30)=2),FebOffSet+30,"")</f>
        <v>45712</v>
      </c>
      <c r="R25" s="96">
        <f>IF(AND(YEAR(FebOffSet+31)=CalendarYear,MONTH(FebOffSet+31)=2),FebOffSet+31,"")</f>
        <v>45713</v>
      </c>
      <c r="S25" s="96">
        <f>IF(AND(YEAR(FebOffSet+32)=CalendarYear,MONTH(FebOffSet+32)=2),FebOffSet+32,"")</f>
        <v>45714</v>
      </c>
      <c r="T25" s="96">
        <f>IF(AND(YEAR(FebOffSet+33)=CalendarYear,MONTH(FebOffSet+33)=2),FebOffSet+33,"")</f>
        <v>45715</v>
      </c>
      <c r="U25" s="90">
        <f>IF(AND(YEAR(FebOffSet+34)=CalendarYear,MONTH(FebOffSet+34)=2),FebOffSet+34,"")</f>
        <v>45716</v>
      </c>
      <c r="V25" s="78">
        <f>ROUNDDOWN(SUM(SUM(Q18:U18,Q16:U16,Q20:U20,Q22:U22,Q24:U24)/8),1)</f>
        <v>0</v>
      </c>
      <c r="W25" s="259"/>
      <c r="X25" s="89">
        <f>IF(AND(YEAR(MayOffSet+30)=CalendarYear,MONTH(MayOffSet+30)=5),MayOffSet+30,"")</f>
        <v>45803</v>
      </c>
      <c r="Y25" s="96">
        <f>IF(AND(YEAR(MayOffSet+31)=CalendarYear,MONTH(MayOffSet+31)=5),MayOffSet+31,"")</f>
        <v>45804</v>
      </c>
      <c r="Z25" s="96">
        <f>IF(AND(YEAR(MayOffSet+32)=CalendarYear,MONTH(MayOffSet+32)=5),MayOffSet+32,"")</f>
        <v>45805</v>
      </c>
      <c r="AA25" s="96">
        <f>IF(AND(YEAR(MayOffSet+33)=CalendarYear,MONTH(MayOffSet+33)=5),MayOffSet+33,"")</f>
        <v>45806</v>
      </c>
      <c r="AB25" s="90">
        <f>IF(AND(YEAR(MayOffSet+34)=CalendarYear,MONTH(MayOffSet+34)=5),MayOffSet+34,"")</f>
        <v>45807</v>
      </c>
      <c r="AC25" s="78">
        <f>ROUNDDOWN(SUM(SUM(X16:AB16,X18:AB18,X20:AB20,X22:AB22,X24:AB24)/8),1)</f>
        <v>0</v>
      </c>
      <c r="AD25" s="12"/>
      <c r="AE25" s="41"/>
      <c r="AF25" s="41"/>
    </row>
    <row r="26" spans="1:32" ht="15.75" thickBot="1" x14ac:dyDescent="0.3">
      <c r="A26" s="17"/>
      <c r="B26" s="17"/>
      <c r="C26" s="26"/>
      <c r="D26" s="26"/>
      <c r="E26" s="26"/>
      <c r="F26" s="26"/>
      <c r="G26" s="26"/>
      <c r="H26" s="77"/>
      <c r="I26" s="25"/>
      <c r="J26" s="26"/>
      <c r="K26" s="26"/>
      <c r="L26" s="26"/>
      <c r="M26" s="26"/>
      <c r="N26" s="26"/>
      <c r="O26" s="77"/>
      <c r="P26" s="25"/>
      <c r="Q26" s="26"/>
      <c r="R26" s="26"/>
      <c r="S26" s="26"/>
      <c r="T26" s="26"/>
      <c r="U26" s="26"/>
      <c r="V26" s="77"/>
      <c r="W26" s="25"/>
      <c r="X26" s="26"/>
      <c r="Y26" s="26"/>
      <c r="Z26" s="26"/>
      <c r="AA26" s="26"/>
      <c r="AB26" s="26"/>
      <c r="AC26" s="77"/>
      <c r="AD26" s="12"/>
      <c r="AE26" s="41"/>
      <c r="AF26" s="41"/>
    </row>
    <row r="27" spans="1:32" ht="15" customHeight="1" x14ac:dyDescent="0.25">
      <c r="A27" s="17"/>
      <c r="B27" s="241" t="s">
        <v>24</v>
      </c>
      <c r="C27" s="162"/>
      <c r="D27" s="163"/>
      <c r="E27" s="163"/>
      <c r="F27" s="163"/>
      <c r="G27" s="164"/>
      <c r="H27" s="77"/>
      <c r="I27" s="241" t="s">
        <v>25</v>
      </c>
      <c r="J27" s="162"/>
      <c r="K27" s="163"/>
      <c r="L27" s="163"/>
      <c r="M27" s="163"/>
      <c r="N27" s="164"/>
      <c r="O27" s="77"/>
      <c r="P27" s="260" t="s">
        <v>26</v>
      </c>
      <c r="Q27" s="162"/>
      <c r="R27" s="163"/>
      <c r="S27" s="163"/>
      <c r="T27" s="163"/>
      <c r="U27" s="164"/>
      <c r="V27" s="77"/>
      <c r="W27" s="241" t="s">
        <v>76</v>
      </c>
      <c r="X27" s="162"/>
      <c r="Y27" s="163"/>
      <c r="Z27" s="163"/>
      <c r="AA27" s="163"/>
      <c r="AB27" s="164"/>
      <c r="AC27" s="77"/>
      <c r="AD27" s="12"/>
      <c r="AE27" s="41"/>
      <c r="AF27" s="41"/>
    </row>
    <row r="28" spans="1:32" x14ac:dyDescent="0.25">
      <c r="A28" s="17"/>
      <c r="B28" s="242"/>
      <c r="C28" s="168">
        <f>IF(AND(YEAR(SeptOffSet+2)=BegCalYear,MONTH(SeptOffSet+2)=9),SeptOffSet+2,"")</f>
        <v>45537</v>
      </c>
      <c r="D28" s="168">
        <f>IF(AND(YEAR(SeptOffSet+3)=BegCalYear,MONTH(SeptOffSet+3)=9),SeptOffSet+3,"")</f>
        <v>45538</v>
      </c>
      <c r="E28" s="168">
        <f>IF(AND(YEAR(SeptOffSet+4)=BegCalYear,MONTH(SeptOffSet+4)=9),SeptOffSet+4,"")</f>
        <v>45539</v>
      </c>
      <c r="F28" s="168">
        <f>IF(AND(YEAR(SeptOffSet+5)=BegCalYear,MONTH(SeptOffSet+5)=9),SeptOffSet+5,"")</f>
        <v>45540</v>
      </c>
      <c r="G28" s="169">
        <f>IF(AND(YEAR(SeptOffSet+6)=BegCalYear,MONTH(SeptOffSet+6)=9),SeptOffSet+6,"")</f>
        <v>45541</v>
      </c>
      <c r="H28" s="77"/>
      <c r="I28" s="242"/>
      <c r="J28" s="88">
        <f>IF(AND(YEAR(DecOffSet+2)=BegCalYear,MONTH(DecOffSet+2)=12),DecOffSet+2,"")</f>
        <v>45628</v>
      </c>
      <c r="K28" s="168">
        <f>IF(AND(YEAR(DecOffSet+3)=BegCalYear,MONTH(DecOffSet+3)=12),DecOffSet+3,"")</f>
        <v>45629</v>
      </c>
      <c r="L28" s="168">
        <f>IF(AND(YEAR(DecOffSet+4)=BegCalYear,MONTH(DecOffSet+4)=12),DecOffSet+4,"")</f>
        <v>45630</v>
      </c>
      <c r="M28" s="168">
        <f>IF(AND(YEAR(DecOffSet+5)=BegCalYear,MONTH(DecOffSet+5)=12),DecOffSet+5,"")</f>
        <v>45631</v>
      </c>
      <c r="N28" s="169">
        <f>IF(AND(YEAR(DecOffSet+6)=BegCalYear,MONTH(DecOffSet+6)=12),DecOffSet+6,"")</f>
        <v>45632</v>
      </c>
      <c r="O28" s="77"/>
      <c r="P28" s="261"/>
      <c r="Q28" s="88">
        <f>IF(AND(YEAR(MarOffSet+9)=CalendarYear,MONTH(MarOffSet+9)=3),MarOffSet+9,"")</f>
        <v>45719</v>
      </c>
      <c r="R28" s="168">
        <f>IF(AND(YEAR(MarOffSet+10)=CalendarYear,MONTH(MarOffSet+10)=3),MarOffSet+10,"")</f>
        <v>45720</v>
      </c>
      <c r="S28" s="168">
        <f>IF(AND(YEAR(MarOffSet+11)=CalendarYear,MONTH(MarOffSet+11)=3),MarOffSet+11,"")</f>
        <v>45721</v>
      </c>
      <c r="T28" s="168">
        <f>IF(AND(YEAR(MarOffSet+12)=CalendarYear,MONTH(MarOffSet+12)=3),MarOffSet+12,"")</f>
        <v>45722</v>
      </c>
      <c r="U28" s="169">
        <f>IF(AND(YEAR(MarOffSet+13)=CalendarYear,MONTH(MarOffSet+13)=3),MarOffSet+13,"")</f>
        <v>45723</v>
      </c>
      <c r="V28" s="77"/>
      <c r="W28" s="242"/>
      <c r="X28" s="88">
        <f>IF(AND(YEAR(JuneOffSet+2)=CalendarYear,MONTH(JuneOffSet+2)=6),JuneOffSet+2,"")</f>
        <v>45810</v>
      </c>
      <c r="Y28" s="168">
        <f>IF(AND(YEAR(JuneOffSet+3)=CalendarYear,MONTH(JuneOffSet+3)=6),JuneOffSet+3,"")</f>
        <v>45811</v>
      </c>
      <c r="Z28" s="168">
        <f>IF(AND(YEAR(JuneOffSet+4)=CalendarYear,MONTH(JuneOffSet+4)=6),JuneOffSet+4,"")</f>
        <v>45812</v>
      </c>
      <c r="AA28" s="168">
        <f>IF(AND(YEAR(JuneOffSet+5)=CalendarYear,MONTH(JuneOffSet+5)=6),JuneOffSet+5,"")</f>
        <v>45813</v>
      </c>
      <c r="AB28" s="169">
        <f>IF(AND(YEAR(JuneOffSet+6)=CalendarYear,MONTH(JuneOffSet+6)=6),JuneOffSet+6,"")</f>
        <v>45814</v>
      </c>
      <c r="AC28" s="77"/>
      <c r="AD28" s="12"/>
      <c r="AE28" s="41"/>
      <c r="AF28" s="41"/>
    </row>
    <row r="29" spans="1:32" ht="15" customHeight="1" x14ac:dyDescent="0.25">
      <c r="A29" s="17"/>
      <c r="B29" s="242"/>
      <c r="C29" s="165"/>
      <c r="D29" s="166"/>
      <c r="E29" s="166"/>
      <c r="F29" s="166"/>
      <c r="G29" s="167"/>
      <c r="H29" s="77"/>
      <c r="I29" s="242"/>
      <c r="J29" s="165"/>
      <c r="K29" s="166"/>
      <c r="L29" s="166"/>
      <c r="M29" s="166"/>
      <c r="N29" s="167"/>
      <c r="O29" s="77"/>
      <c r="P29" s="261"/>
      <c r="Q29" s="165"/>
      <c r="R29" s="166"/>
      <c r="S29" s="166"/>
      <c r="T29" s="166"/>
      <c r="U29" s="167"/>
      <c r="V29" s="77"/>
      <c r="W29" s="242"/>
      <c r="X29" s="165"/>
      <c r="Y29" s="166"/>
      <c r="Z29" s="166"/>
      <c r="AA29" s="166"/>
      <c r="AB29" s="167"/>
      <c r="AC29" s="77"/>
      <c r="AD29" s="12"/>
      <c r="AE29" s="41"/>
      <c r="AF29" s="41"/>
    </row>
    <row r="30" spans="1:32" x14ac:dyDescent="0.25">
      <c r="A30" s="17"/>
      <c r="B30" s="242"/>
      <c r="C30" s="88">
        <f>IF(AND(YEAR(SeptOffSet+9)=BegCalYear,MONTH(SeptOffSet+9)=9),SeptOffSet+9,"")</f>
        <v>45544</v>
      </c>
      <c r="D30" s="168">
        <f>IF(AND(YEAR(SeptOffSet+10)=BegCalYear,MONTH(SeptOffSet+10)=9),SeptOffSet+10,"")</f>
        <v>45545</v>
      </c>
      <c r="E30" s="168">
        <f>IF(AND(YEAR(SeptOffSet+11)=BegCalYear,MONTH(SeptOffSet+11)=9),SeptOffSet+11,"")</f>
        <v>45546</v>
      </c>
      <c r="F30" s="168">
        <f>IF(AND(YEAR(SeptOffSet+12)=BegCalYear,MONTH(SeptOffSet+12)=9),SeptOffSet+12,"")</f>
        <v>45547</v>
      </c>
      <c r="G30" s="169">
        <f>IF(AND(YEAR(SeptOffSet+13)=BegCalYear,MONTH(SeptOffSet+13)=9),SeptOffSet+13,"")</f>
        <v>45548</v>
      </c>
      <c r="H30" s="77"/>
      <c r="I30" s="242"/>
      <c r="J30" s="88">
        <f>IF(AND(YEAR(DecOffSet+9)=BegCalYear,MONTH(DecOffSet+9)=12),DecOffSet+9,"")</f>
        <v>45635</v>
      </c>
      <c r="K30" s="168">
        <f>IF(AND(YEAR(DecOffSet+10)=BegCalYear,MONTH(DecOffSet+10)=12),DecOffSet+10,"")</f>
        <v>45636</v>
      </c>
      <c r="L30" s="168">
        <f>IF(AND(YEAR(DecOffSet+11)=BegCalYear,MONTH(DecOffSet+11)=12),DecOffSet+11,"")</f>
        <v>45637</v>
      </c>
      <c r="M30" s="168">
        <f>IF(AND(YEAR(DecOffSet+12)=BegCalYear,MONTH(DecOffSet+12)=12),DecOffSet+12,"")</f>
        <v>45638</v>
      </c>
      <c r="N30" s="169">
        <f>IF(AND(YEAR(DecOffSet+13)=BegCalYear,MONTH(DecOffSet+13)=12),DecOffSet+13,"")</f>
        <v>45639</v>
      </c>
      <c r="O30" s="77"/>
      <c r="P30" s="261"/>
      <c r="Q30" s="88">
        <f>IF(AND(YEAR(MarOffSet+16)=CalendarYear,MONTH(MarOffSet+16)=3),MarOffSet+16,"")</f>
        <v>45726</v>
      </c>
      <c r="R30" s="168">
        <f>IF(AND(YEAR(MarOffSet+17)=CalendarYear,MONTH(MarOffSet+17)=3),MarOffSet+17,"")</f>
        <v>45727</v>
      </c>
      <c r="S30" s="168">
        <f>IF(AND(YEAR(MarOffSet+18)=CalendarYear,MONTH(MarOffSet+18)=3),MarOffSet+18,"")</f>
        <v>45728</v>
      </c>
      <c r="T30" s="168">
        <f>IF(AND(YEAR(MarOffSet+19)=CalendarYear,MONTH(MarOffSet+19)=3),MarOffSet+19,"")</f>
        <v>45729</v>
      </c>
      <c r="U30" s="169">
        <f>IF(AND(YEAR(MarOffSet+20)=CalendarYear,MONTH(MarOffSet+20)=3),MarOffSet+20,"")</f>
        <v>45730</v>
      </c>
      <c r="V30" s="77"/>
      <c r="W30" s="242"/>
      <c r="X30" s="88">
        <f>IF(AND(YEAR(JuneOffSet+9)=CalendarYear,MONTH(JuneOffSet+9)=6),JuneOffSet+9,"")</f>
        <v>45817</v>
      </c>
      <c r="Y30" s="168">
        <f>IF(AND(YEAR(JuneOffSet+10)=CalendarYear,MONTH(JuneOffSet+10)=6),JuneOffSet+10,"")</f>
        <v>45818</v>
      </c>
      <c r="Z30" s="168">
        <f>IF(AND(YEAR(JuneOffSet+11)=CalendarYear,MONTH(JuneOffSet+11)=6),JuneOffSet+11,"")</f>
        <v>45819</v>
      </c>
      <c r="AA30" s="168">
        <f>IF(AND(YEAR(JuneOffSet+12)=CalendarYear,MONTH(JuneOffSet+12)=6),JuneOffSet+12,"")</f>
        <v>45820</v>
      </c>
      <c r="AB30" s="169">
        <f>IF(AND(YEAR(JuneOffSet+13)=CalendarYear,MONTH(JuneOffSet+13)=6),JuneOffSet+13,"")</f>
        <v>45821</v>
      </c>
      <c r="AC30" s="77"/>
      <c r="AD30" s="12"/>
      <c r="AE30" s="41"/>
      <c r="AF30" s="41"/>
    </row>
    <row r="31" spans="1:32" x14ac:dyDescent="0.25">
      <c r="A31" s="17"/>
      <c r="B31" s="242"/>
      <c r="C31" s="165"/>
      <c r="D31" s="166"/>
      <c r="E31" s="166"/>
      <c r="F31" s="166"/>
      <c r="G31" s="167"/>
      <c r="H31" s="77"/>
      <c r="I31" s="242"/>
      <c r="J31" s="165"/>
      <c r="K31" s="166"/>
      <c r="L31" s="166"/>
      <c r="M31" s="166"/>
      <c r="N31" s="167"/>
      <c r="O31" s="77"/>
      <c r="P31" s="261"/>
      <c r="Q31" s="165"/>
      <c r="R31" s="166"/>
      <c r="S31" s="166"/>
      <c r="T31" s="166"/>
      <c r="U31" s="167"/>
      <c r="V31" s="77"/>
      <c r="W31" s="242"/>
      <c r="X31" s="165"/>
      <c r="Y31" s="166"/>
      <c r="Z31" s="166"/>
      <c r="AA31" s="166"/>
      <c r="AB31" s="167"/>
      <c r="AC31" s="77"/>
      <c r="AD31" s="12"/>
      <c r="AE31" s="41"/>
      <c r="AF31" s="41"/>
    </row>
    <row r="32" spans="1:32" x14ac:dyDescent="0.25">
      <c r="A32" s="17"/>
      <c r="B32" s="242"/>
      <c r="C32" s="88">
        <f>IF(AND(YEAR(SeptOffSet+16)=BegCalYear,MONTH(SeptOffSet+16)=9),SeptOffSet+16,"")</f>
        <v>45551</v>
      </c>
      <c r="D32" s="168">
        <f>IF(AND(YEAR(SeptOffSet+17)=BegCalYear,MONTH(SeptOffSet+17)=9),SeptOffSet+17,"")</f>
        <v>45552</v>
      </c>
      <c r="E32" s="168">
        <f>IF(AND(YEAR(SeptOffSet+18)=BegCalYear,MONTH(SeptOffSet+18)=9),SeptOffSet+18,"")</f>
        <v>45553</v>
      </c>
      <c r="F32" s="168">
        <f>IF(AND(YEAR(SeptOffSet+19)=BegCalYear,MONTH(SeptOffSet+19)=9),SeptOffSet+19,"")</f>
        <v>45554</v>
      </c>
      <c r="G32" s="169">
        <f>IF(AND(YEAR(SeptOffSet+20)=BegCalYear,MONTH(SeptOffSet+20)=9),SeptOffSet+20,"")</f>
        <v>45555</v>
      </c>
      <c r="H32" s="77"/>
      <c r="I32" s="242"/>
      <c r="J32" s="88">
        <f>IF(AND(YEAR(DecOffSet+16)=BegCalYear,MONTH(DecOffSet+16)=12),DecOffSet+16,"")</f>
        <v>45642</v>
      </c>
      <c r="K32" s="168">
        <f>IF(AND(YEAR(DecOffSet+17)=BegCalYear,MONTH(DecOffSet+17)=12),DecOffSet+17,"")</f>
        <v>45643</v>
      </c>
      <c r="L32" s="168">
        <f>IF(AND(YEAR(DecOffSet+18)=BegCalYear,MONTH(DecOffSet+18)=12),DecOffSet+18,"")</f>
        <v>45644</v>
      </c>
      <c r="M32" s="168">
        <f>IF(AND(YEAR(DecOffSet+19)=BegCalYear,MONTH(DecOffSet+19)=12),DecOffSet+19,"")</f>
        <v>45645</v>
      </c>
      <c r="N32" s="169">
        <f>IF(AND(YEAR(DecOffSet+20)=BegCalYear,MONTH(DecOffSet+20)=12),DecOffSet+20,"")</f>
        <v>45646</v>
      </c>
      <c r="O32" s="77"/>
      <c r="P32" s="261"/>
      <c r="Q32" s="88">
        <f>IF(AND(YEAR(MarOffSet+23)=CalendarYear,MONTH(MarOffSet+23)=3),MarOffSet+23,"")</f>
        <v>45733</v>
      </c>
      <c r="R32" s="168">
        <f>IF(AND(YEAR(MarOffSet+24)=CalendarYear,MONTH(MarOffSet+24)=3),MarOffSet+24,"")</f>
        <v>45734</v>
      </c>
      <c r="S32" s="168">
        <f>IF(AND(YEAR(MarOffSet+25)=CalendarYear,MONTH(MarOffSet+25)=3),MarOffSet+25,"")</f>
        <v>45735</v>
      </c>
      <c r="T32" s="168">
        <f>IF(AND(YEAR(MarOffSet+26)=CalendarYear,MONTH(MarOffSet+26)=3),MarOffSet+26,"")</f>
        <v>45736</v>
      </c>
      <c r="U32" s="169">
        <f>IF(AND(YEAR(MarOffSet+27)=CalendarYear,MONTH(MarOffSet+27)=3),MarOffSet+27,"")</f>
        <v>45737</v>
      </c>
      <c r="V32" s="77"/>
      <c r="W32" s="242"/>
      <c r="X32" s="88">
        <f>IF(AND(YEAR(JuneOffSet+16)=CalendarYear,MONTH(JuneOffSet+16)=6),JuneOffSet+16,"")</f>
        <v>45824</v>
      </c>
      <c r="Y32" s="168">
        <f>IF(AND(YEAR(JuneOffSet+17)=CalendarYear,MONTH(JuneOffSet+17)=6),JuneOffSet+17,"")</f>
        <v>45825</v>
      </c>
      <c r="Z32" s="168">
        <f>IF(AND(YEAR(JuneOffSet+18)=CalendarYear,MONTH(JuneOffSet+18)=6),JuneOffSet+18,"")</f>
        <v>45826</v>
      </c>
      <c r="AA32" s="168">
        <f>IF(AND(YEAR(JuneOffSet+19)=CalendarYear,MONTH(JuneOffSet+19)=6),JuneOffSet+19,"")</f>
        <v>45827</v>
      </c>
      <c r="AB32" s="169">
        <f>IF(AND(YEAR(JuneOffSet+20)=CalendarYear,MONTH(JuneOffSet+20)=6),JuneOffSet+20,"")</f>
        <v>45828</v>
      </c>
      <c r="AC32" s="77"/>
      <c r="AD32" s="12"/>
      <c r="AE32" s="41"/>
      <c r="AF32" s="41"/>
    </row>
    <row r="33" spans="1:41" ht="15" customHeight="1" x14ac:dyDescent="0.25">
      <c r="A33" s="17"/>
      <c r="B33" s="242"/>
      <c r="C33" s="165"/>
      <c r="D33" s="166"/>
      <c r="E33" s="166"/>
      <c r="F33" s="166"/>
      <c r="G33" s="167"/>
      <c r="H33" s="77" t="s">
        <v>27</v>
      </c>
      <c r="I33" s="242"/>
      <c r="J33" s="165"/>
      <c r="K33" s="166"/>
      <c r="L33" s="166"/>
      <c r="M33" s="166"/>
      <c r="N33" s="167"/>
      <c r="O33" s="77" t="s">
        <v>28</v>
      </c>
      <c r="P33" s="261"/>
      <c r="Q33" s="165"/>
      <c r="R33" s="166"/>
      <c r="S33" s="166"/>
      <c r="T33" s="166"/>
      <c r="U33" s="167"/>
      <c r="V33" s="77" t="s">
        <v>29</v>
      </c>
      <c r="W33" s="242"/>
      <c r="X33" s="165"/>
      <c r="Y33" s="166"/>
      <c r="Z33" s="166"/>
      <c r="AA33" s="166"/>
      <c r="AB33" s="167"/>
      <c r="AC33" s="77" t="s">
        <v>77</v>
      </c>
      <c r="AD33" s="12"/>
      <c r="AE33" s="41"/>
      <c r="AF33" s="41"/>
    </row>
    <row r="34" spans="1:41" x14ac:dyDescent="0.25">
      <c r="A34" s="17"/>
      <c r="B34" s="242"/>
      <c r="C34" s="88">
        <f>IF(AND(YEAR(SeptOffSet+23)=BegCalYear,MONTH(SeptOffSet+23)=9),SeptOffSet+23,"")</f>
        <v>45558</v>
      </c>
      <c r="D34" s="168">
        <f>IF(AND(YEAR(SeptOffSet+24)=BegCalYear,MONTH(SeptOffSet+24)=9),SeptOffSet+24,"")</f>
        <v>45559</v>
      </c>
      <c r="E34" s="168">
        <f>IF(AND(YEAR(SeptOffSet+25)=BegCalYear,MONTH(SeptOffSet+25)=9),SeptOffSet+25,"")</f>
        <v>45560</v>
      </c>
      <c r="F34" s="168">
        <f>IF(AND(YEAR(SeptOffSet+26)=BegCalYear,MONTH(SeptOffSet+26)=9),SeptOffSet+26,"")</f>
        <v>45561</v>
      </c>
      <c r="G34" s="169">
        <f>IF(AND(YEAR(SeptOffSet+27)=BegCalYear,MONTH(SeptOffSet+27)=9),SeptOffSet+27,"")</f>
        <v>45562</v>
      </c>
      <c r="H34" s="26" t="s">
        <v>14</v>
      </c>
      <c r="I34" s="242"/>
      <c r="J34" s="88">
        <f>IF(AND(YEAR(DecOffSet+23)=BegCalYear,MONTH(DecOffSet+23)=12),DecOffSet+23,"")</f>
        <v>45649</v>
      </c>
      <c r="K34" s="168">
        <f>IF(AND(YEAR(DecOffSet+24)=BegCalYear,MONTH(DecOffSet+24)=12),DecOffSet+24,"")</f>
        <v>45650</v>
      </c>
      <c r="L34" s="168">
        <f>IF(AND(YEAR(DecOffSet+25)=BegCalYear,MONTH(DecOffSet+25)=12),DecOffSet+25,"")</f>
        <v>45651</v>
      </c>
      <c r="M34" s="168">
        <f>IF(AND(YEAR(DecOffSet+26)=BegCalYear,MONTH(DecOffSet+26)=12),DecOffSet+26,"")</f>
        <v>45652</v>
      </c>
      <c r="N34" s="169">
        <f>IF(AND(YEAR(DecOffSet+27)=BegCalYear,MONTH(DecOffSet+27)=12),DecOffSet+27,"")</f>
        <v>45653</v>
      </c>
      <c r="O34" s="26" t="s">
        <v>14</v>
      </c>
      <c r="P34" s="261"/>
      <c r="Q34" s="88">
        <f>IF(AND(YEAR(MarOffSet+30)=CalendarYear,MONTH(MarOffSet+30)=3),MarOffSet+30,"")</f>
        <v>45740</v>
      </c>
      <c r="R34" s="168">
        <f>IF(AND(YEAR(MarOffSet+31)=CalendarYear,MONTH(MarOffSet+31)=3),MarOffSet+31,"")</f>
        <v>45741</v>
      </c>
      <c r="S34" s="168">
        <f>IF(AND(YEAR(MarOffSet+32)=CalendarYear,MONTH(MarOffSet+32)=3),MarOffSet+32,"")</f>
        <v>45742</v>
      </c>
      <c r="T34" s="168">
        <f>IF(AND(YEAR(MarOffSet+33)=CalendarYear,MONTH(MarOffSet+33)=3),MarOffSet+33,"")</f>
        <v>45743</v>
      </c>
      <c r="U34" s="169">
        <f>IF(AND(YEAR(MarOffSet+34)=CalendarYear,MONTH(MarOffSet+34)=3),MarOffSet+34,"")</f>
        <v>45744</v>
      </c>
      <c r="V34" s="26" t="s">
        <v>14</v>
      </c>
      <c r="W34" s="242"/>
      <c r="X34" s="88">
        <f>IF(AND(YEAR(JuneOffSet+23)=CalendarYear,MONTH(JuneOffSet+23)=6),JuneOffSet+23,"")</f>
        <v>45831</v>
      </c>
      <c r="Y34" s="168">
        <f>IF(AND(YEAR(JuneOffSet+24)=CalendarYear,MONTH(JuneOffSet+24)=6),JuneOffSet+24,"")</f>
        <v>45832</v>
      </c>
      <c r="Z34" s="168">
        <f>IF(AND(YEAR(JuneOffSet+25)=CalendarYear,MONTH(JuneOffSet+25)=6),JuneOffSet+25,"")</f>
        <v>45833</v>
      </c>
      <c r="AA34" s="168">
        <f>IF(AND(YEAR(JuneOffSet+26)=CalendarYear,MONTH(JuneOffSet+26)=6),JuneOffSet+26,"")</f>
        <v>45834</v>
      </c>
      <c r="AB34" s="169">
        <f>IF(AND(YEAR(JuneOffSet+27)=CalendarYear,MONTH(JuneOffSet+27)=6),JuneOffSet+27,"")</f>
        <v>45835</v>
      </c>
      <c r="AC34" s="26" t="s">
        <v>14</v>
      </c>
      <c r="AD34" s="12"/>
      <c r="AE34" s="41"/>
      <c r="AF34" s="41"/>
    </row>
    <row r="35" spans="1:41" ht="16.5" customHeight="1" x14ac:dyDescent="0.25">
      <c r="A35" s="17"/>
      <c r="B35" s="242"/>
      <c r="C35" s="165"/>
      <c r="D35" s="166"/>
      <c r="E35" s="166"/>
      <c r="F35" s="166"/>
      <c r="G35" s="167"/>
      <c r="H35" s="77" t="s">
        <v>15</v>
      </c>
      <c r="I35" s="242"/>
      <c r="J35" s="165"/>
      <c r="K35" s="166"/>
      <c r="L35" s="166"/>
      <c r="M35" s="166"/>
      <c r="N35" s="167"/>
      <c r="O35" s="77" t="s">
        <v>15</v>
      </c>
      <c r="P35" s="261"/>
      <c r="Q35" s="165"/>
      <c r="R35" s="166"/>
      <c r="S35" s="166"/>
      <c r="T35" s="166"/>
      <c r="U35" s="167"/>
      <c r="V35" s="77" t="s">
        <v>15</v>
      </c>
      <c r="W35" s="242"/>
      <c r="X35" s="165"/>
      <c r="Y35" s="166"/>
      <c r="Z35" s="166"/>
      <c r="AA35" s="166"/>
      <c r="AB35" s="167"/>
      <c r="AC35" s="77" t="s">
        <v>15</v>
      </c>
      <c r="AD35" s="12"/>
      <c r="AE35" s="41"/>
      <c r="AF35" s="41"/>
    </row>
    <row r="36" spans="1:41" ht="15.75" thickBot="1" x14ac:dyDescent="0.3">
      <c r="A36" s="17"/>
      <c r="B36" s="254"/>
      <c r="C36" s="89">
        <f>IF(AND(YEAR(SeptOffSet+30)=BegCalYear,MONTH(SeptOffSet+30)=9),SeptOffSet+30,"")</f>
        <v>45565</v>
      </c>
      <c r="D36" s="96" t="str">
        <f>IF(AND(YEAR(SeptOffSet+31)=BegCalYear,MONTH(SeptOffSet+31)=9),SeptOffSet+31,"")</f>
        <v/>
      </c>
      <c r="E36" s="96" t="str">
        <f>IF(AND(YEAR(SeptOffSet+32)=BegCalYear,MONTH(SeptOffSet+32)=9),SeptOffSet+32,"")</f>
        <v/>
      </c>
      <c r="F36" s="96" t="str">
        <f>IF(AND(YEAR(SeptOffSet+33)=BegCalYear,MONTH(SeptOffSet+33)=9),SeptOffSet+33,"")</f>
        <v/>
      </c>
      <c r="G36" s="90" t="str">
        <f>IF(AND(YEAR(SeptOffSet+34)=BegCalYear,MONTH(SeptOffSet+34)=9),SeptOffSet+34,"")</f>
        <v/>
      </c>
      <c r="H36" s="78">
        <f>ROUNDDOWN(SUM(SUM(C27:G27,C29:G29,C31:G31,C33:G33,C35:G35)/8),1)</f>
        <v>0</v>
      </c>
      <c r="I36" s="254"/>
      <c r="J36" s="89">
        <f>IF(AND(YEAR(DecOffSet+30)=BegCalYear,MONTH(DecOffSet+30)=12),DecOffSet+30,"")</f>
        <v>45656</v>
      </c>
      <c r="K36" s="96">
        <f>IF(AND(YEAR(DecOffSet+31)=BegCalYear,MONTH(DecOffSet+31)=12),DecOffSet+31,"")</f>
        <v>45657</v>
      </c>
      <c r="L36" s="96" t="str">
        <f>IF(AND(YEAR(DecOffSet+32)=BegCalYear,MONTH(DecOffSet+32)=12),DecOffSet+32,"")</f>
        <v/>
      </c>
      <c r="M36" s="96" t="str">
        <f>IF(AND(YEAR(DecOffSet+33)=BegCalYear,MONTH(DecOffSet+33)=12),DecOffSet+33,"")</f>
        <v/>
      </c>
      <c r="N36" s="90" t="str">
        <f>IF(AND(YEAR(DecOffSet+34)=BegCalYear,MONTH(DecOffSet+34)=12),DecOffSet+34,"")</f>
        <v/>
      </c>
      <c r="O36" s="78">
        <f>ROUNDDOWN(SUM(SUM(J27:N27,J29:N29,J31:N31,J33:N33,J35:N35)/8),1)</f>
        <v>0</v>
      </c>
      <c r="P36" s="262"/>
      <c r="Q36" s="89">
        <f>IF(AND(YEAR(MarOffSet+37)=CalendarYear,MONTH(MarOffSet+30)=3),MarOffSet+37,"")</f>
        <v>45747</v>
      </c>
      <c r="R36" s="96"/>
      <c r="S36" s="96"/>
      <c r="T36" s="96"/>
      <c r="U36" s="90"/>
      <c r="V36" s="78">
        <f>ROUNDDOWN(SUM(SUM(Q27:U27,Q29:U29,Q31:U31,Q33:U33,Q35:U35)/8),1)</f>
        <v>0</v>
      </c>
      <c r="W36" s="242"/>
      <c r="X36" s="89">
        <f>IF(AND(YEAR(JuneOffSet+30)=CalendarYear,MONTH(JuneOffSet+30)=6),JuneOffSet+30,"")</f>
        <v>45838</v>
      </c>
      <c r="Y36" s="96" t="str">
        <f>IF(AND(YEAR(JuneOffSet+31)=CalendarYear,MONTH(JuneOffSet+31)=6),JuneOffSet+31,"")</f>
        <v/>
      </c>
      <c r="Z36" s="96" t="str">
        <f>IF(AND(YEAR(JuneOffSet+32)=CalendarYear,MONTH(JuneOffSet+32)=6),JuneOffSet+32,"")</f>
        <v/>
      </c>
      <c r="AA36" s="96" t="str">
        <f>IF(AND(YEAR(JuneOffSet+33)=CalendarYear,MONTH(JuneOffSet+33)=6),JuneOffSet+33,"")</f>
        <v/>
      </c>
      <c r="AB36" s="90" t="str">
        <f>IF(AND(YEAR(JuneOffSet+34)=CalendarYear,MONTH(JuneOffSet+34)=6),JuneOffSet+34,"")</f>
        <v/>
      </c>
      <c r="AC36" s="78">
        <f>ROUNDDOWN(SUM(SUM(X27:AB27,X29:AB29,X31:AB31,X33:AB33,X35:AB35,)/8),1)</f>
        <v>0</v>
      </c>
      <c r="AD36" s="12"/>
      <c r="AE36" s="41"/>
      <c r="AF36" s="41"/>
    </row>
    <row r="37" spans="1:41" x14ac:dyDescent="0.25">
      <c r="A37" s="17"/>
      <c r="B37" s="17"/>
      <c r="C37" s="26"/>
      <c r="D37" s="26"/>
      <c r="E37" s="26"/>
      <c r="F37" s="26"/>
      <c r="G37" s="26"/>
      <c r="H37" s="26"/>
      <c r="I37" s="26"/>
      <c r="J37" s="26"/>
      <c r="K37" s="26"/>
      <c r="L37" s="26"/>
      <c r="M37" s="26"/>
      <c r="N37" s="26"/>
      <c r="O37" s="26"/>
      <c r="P37" s="26"/>
      <c r="Q37" s="26"/>
      <c r="R37" s="26"/>
      <c r="S37" s="26"/>
      <c r="T37" s="26"/>
      <c r="U37" s="26"/>
      <c r="V37" s="182"/>
      <c r="W37" s="183"/>
      <c r="X37" s="182"/>
      <c r="Y37" s="182"/>
      <c r="Z37" s="182"/>
      <c r="AA37" s="182"/>
      <c r="AB37" s="182"/>
      <c r="AC37" s="184"/>
      <c r="AD37" s="12"/>
      <c r="AE37" s="41"/>
      <c r="AF37" s="41"/>
    </row>
    <row r="38" spans="1:41" ht="15" customHeight="1" x14ac:dyDescent="0.25">
      <c r="A38" s="17"/>
      <c r="B38" s="17"/>
      <c r="C38" s="26"/>
      <c r="D38" s="26"/>
      <c r="E38" s="26"/>
      <c r="F38" s="26"/>
      <c r="G38" s="26"/>
      <c r="H38" s="26"/>
      <c r="I38" s="26"/>
      <c r="J38" s="26"/>
      <c r="K38" s="26"/>
      <c r="L38" s="26"/>
      <c r="M38" s="12"/>
      <c r="N38" s="12"/>
      <c r="O38" s="12"/>
      <c r="P38" s="12"/>
      <c r="Q38" s="12"/>
      <c r="R38" s="12"/>
      <c r="S38" s="12"/>
      <c r="T38" s="12"/>
      <c r="U38" s="12"/>
      <c r="V38" s="182"/>
      <c r="W38" s="243"/>
      <c r="X38" s="185"/>
      <c r="Y38" s="185"/>
      <c r="Z38" s="185"/>
      <c r="AA38" s="185"/>
      <c r="AB38" s="185"/>
      <c r="AC38" s="184"/>
      <c r="AD38" s="12"/>
      <c r="AE38" s="41"/>
      <c r="AF38" s="41"/>
    </row>
    <row r="39" spans="1:41" ht="15" customHeight="1" thickBot="1" x14ac:dyDescent="0.3">
      <c r="A39" s="19"/>
      <c r="B39" s="98"/>
      <c r="C39" s="264" t="s">
        <v>30</v>
      </c>
      <c r="D39" s="265"/>
      <c r="E39" s="20"/>
      <c r="F39" s="20"/>
      <c r="G39" s="21"/>
      <c r="H39" s="22"/>
      <c r="I39" s="69"/>
      <c r="J39" s="263" t="s">
        <v>31</v>
      </c>
      <c r="K39" s="263"/>
      <c r="L39" s="23"/>
      <c r="M39" s="12"/>
      <c r="N39" s="12"/>
      <c r="O39" s="12"/>
      <c r="P39" s="12"/>
      <c r="Q39" s="12"/>
      <c r="R39" s="12"/>
      <c r="S39" s="12"/>
      <c r="T39" s="12"/>
      <c r="U39" s="12"/>
      <c r="V39" s="91"/>
      <c r="W39" s="243"/>
      <c r="X39" s="186"/>
      <c r="Y39" s="186"/>
      <c r="Z39" s="186"/>
      <c r="AA39" s="186"/>
      <c r="AB39" s="186"/>
      <c r="AC39" s="182"/>
      <c r="AD39" s="12"/>
      <c r="AE39" s="41"/>
      <c r="AF39" s="41"/>
    </row>
    <row r="40" spans="1:41" ht="15.75" customHeight="1" x14ac:dyDescent="0.25">
      <c r="A40" s="15"/>
      <c r="B40" s="97"/>
      <c r="C40" s="264" t="s">
        <v>32</v>
      </c>
      <c r="D40" s="265"/>
      <c r="E40" s="265"/>
      <c r="F40" s="113"/>
      <c r="G40" s="113"/>
      <c r="H40" s="15"/>
      <c r="I40" s="4"/>
      <c r="J40" s="265" t="s">
        <v>33</v>
      </c>
      <c r="K40" s="265"/>
      <c r="L40" s="32"/>
      <c r="M40" s="277" t="s">
        <v>187</v>
      </c>
      <c r="N40" s="278"/>
      <c r="O40" s="278"/>
      <c r="P40" s="278"/>
      <c r="Q40" s="278"/>
      <c r="R40" s="279"/>
      <c r="S40" s="12"/>
      <c r="T40" s="12"/>
      <c r="U40" s="12"/>
      <c r="V40" s="38"/>
      <c r="W40" s="243"/>
      <c r="X40" s="185"/>
      <c r="Y40" s="185"/>
      <c r="Z40" s="185"/>
      <c r="AA40" s="185"/>
      <c r="AB40" s="185"/>
      <c r="AC40" s="184"/>
      <c r="AD40" s="12"/>
      <c r="AE40" s="41"/>
      <c r="AF40" s="41"/>
    </row>
    <row r="41" spans="1:41" ht="16.5" customHeight="1" x14ac:dyDescent="0.25">
      <c r="A41" s="17"/>
      <c r="B41" s="5"/>
      <c r="C41" s="264" t="s">
        <v>34</v>
      </c>
      <c r="D41" s="265"/>
      <c r="E41" s="265"/>
      <c r="F41" s="265"/>
      <c r="G41" s="265"/>
      <c r="H41" s="15"/>
      <c r="I41" s="6"/>
      <c r="J41" s="265" t="s">
        <v>35</v>
      </c>
      <c r="K41" s="265"/>
      <c r="L41" s="33"/>
      <c r="M41" s="280"/>
      <c r="N41" s="281"/>
      <c r="O41" s="275">
        <f>L2</f>
        <v>0</v>
      </c>
      <c r="P41" s="276"/>
      <c r="Q41" s="282" t="e">
        <f>(M41/8)/O41</f>
        <v>#DIV/0!</v>
      </c>
      <c r="R41" s="283"/>
      <c r="S41" s="12"/>
      <c r="T41" s="12"/>
      <c r="U41" s="12"/>
      <c r="V41" s="187"/>
      <c r="W41" s="243"/>
      <c r="X41" s="186"/>
      <c r="Y41" s="186"/>
      <c r="Z41" s="186"/>
      <c r="AA41" s="186"/>
      <c r="AB41" s="186"/>
      <c r="AC41" s="188"/>
      <c r="AD41" s="12"/>
      <c r="AE41" s="41"/>
      <c r="AF41" s="41"/>
    </row>
    <row r="42" spans="1:41" ht="15" customHeight="1" x14ac:dyDescent="0.25">
      <c r="A42" s="15"/>
      <c r="B42" s="67"/>
      <c r="C42" s="264" t="s">
        <v>37</v>
      </c>
      <c r="D42" s="265"/>
      <c r="E42" s="265"/>
      <c r="F42" s="265"/>
      <c r="G42" s="265"/>
      <c r="H42" s="265"/>
      <c r="I42" s="15"/>
      <c r="J42" s="113"/>
      <c r="K42" s="33"/>
      <c r="L42" s="33"/>
      <c r="M42" s="280"/>
      <c r="N42" s="281"/>
      <c r="O42" s="275"/>
      <c r="P42" s="276"/>
      <c r="Q42" s="238" t="s">
        <v>59</v>
      </c>
      <c r="R42" s="239"/>
      <c r="S42" s="12"/>
      <c r="T42" s="12"/>
      <c r="U42" s="12"/>
      <c r="V42" s="33"/>
      <c r="W42" s="33"/>
      <c r="X42" s="33"/>
      <c r="Y42" s="12"/>
      <c r="Z42" s="12"/>
      <c r="AA42" s="12"/>
      <c r="AB42" s="12"/>
      <c r="AC42" s="12"/>
      <c r="AD42" s="12"/>
      <c r="AE42" s="41"/>
      <c r="AF42" s="41"/>
    </row>
    <row r="43" spans="1:41" ht="15.75" customHeight="1" thickBot="1" x14ac:dyDescent="0.3">
      <c r="A43" s="15"/>
      <c r="B43" s="199"/>
      <c r="C43" s="272" t="s">
        <v>420</v>
      </c>
      <c r="D43" s="272"/>
      <c r="E43" s="272"/>
      <c r="F43" s="272"/>
      <c r="G43" s="272"/>
      <c r="H43" s="13"/>
      <c r="I43" s="13"/>
      <c r="J43" s="13"/>
      <c r="K43" s="13"/>
      <c r="L43" s="13"/>
      <c r="M43" s="273" t="s">
        <v>61</v>
      </c>
      <c r="N43" s="274"/>
      <c r="O43" s="284" t="s">
        <v>58</v>
      </c>
      <c r="P43" s="285"/>
      <c r="Q43" s="236" t="s">
        <v>60</v>
      </c>
      <c r="R43" s="237"/>
      <c r="S43" s="12"/>
      <c r="T43" s="12"/>
      <c r="U43" s="12"/>
      <c r="V43" s="86"/>
      <c r="W43" s="245" t="s">
        <v>36</v>
      </c>
      <c r="X43" s="245"/>
      <c r="Y43" s="246"/>
      <c r="Z43" s="247">
        <f>ROUNDUP(SUM(H14,O14,V14,AC14,H25,O25,V25,AC25,H36,O36,V36,AC36,AC41)+IF(C50&gt;1,0.5,0)+IF(C51&gt;1,0.5,0),1)</f>
        <v>0</v>
      </c>
      <c r="AA43" s="248"/>
      <c r="AB43" s="251" t="e">
        <f>IF((Z43=X2),"ü","û")</f>
        <v>#N/A</v>
      </c>
      <c r="AC43" s="12"/>
      <c r="AD43" s="12"/>
      <c r="AE43" s="41"/>
      <c r="AF43" s="41"/>
    </row>
    <row r="44" spans="1:41" ht="15" customHeight="1" x14ac:dyDescent="0.25">
      <c r="A44" s="15"/>
      <c r="B44" s="12"/>
      <c r="C44" s="272"/>
      <c r="D44" s="272"/>
      <c r="E44" s="272"/>
      <c r="F44" s="272"/>
      <c r="G44" s="272"/>
      <c r="H44" s="12"/>
      <c r="I44" s="12"/>
      <c r="J44" s="12"/>
      <c r="K44" s="12"/>
      <c r="L44" s="12"/>
      <c r="M44" s="234" t="s">
        <v>165</v>
      </c>
      <c r="N44" s="234"/>
      <c r="O44" s="234"/>
      <c r="P44" s="234"/>
      <c r="Q44" s="234"/>
      <c r="R44" s="234"/>
      <c r="S44" s="87"/>
      <c r="T44" s="12"/>
      <c r="U44" s="12"/>
      <c r="V44" s="12"/>
      <c r="W44" s="245"/>
      <c r="X44" s="245"/>
      <c r="Y44" s="246"/>
      <c r="Z44" s="249"/>
      <c r="AA44" s="250"/>
      <c r="AB44" s="251"/>
      <c r="AC44" s="12"/>
      <c r="AD44" s="12"/>
      <c r="AE44" s="41"/>
      <c r="AF44" s="41"/>
    </row>
    <row r="45" spans="1:41" ht="17.25" customHeight="1" x14ac:dyDescent="0.25">
      <c r="A45" s="15"/>
      <c r="B45" s="12"/>
      <c r="C45" s="12"/>
      <c r="D45" s="12"/>
      <c r="E45" s="12"/>
      <c r="F45" s="12"/>
      <c r="G45" s="12"/>
      <c r="H45" s="12"/>
      <c r="I45" s="12"/>
      <c r="J45" s="12"/>
      <c r="K45" s="12"/>
      <c r="L45" s="12"/>
      <c r="M45" s="235"/>
      <c r="N45" s="235"/>
      <c r="O45" s="235"/>
      <c r="P45" s="235"/>
      <c r="Q45" s="235"/>
      <c r="R45" s="235"/>
      <c r="S45" s="12"/>
      <c r="T45" s="12"/>
      <c r="U45" s="12"/>
      <c r="V45" s="12"/>
      <c r="W45" s="12"/>
      <c r="X45" s="244" t="s">
        <v>52</v>
      </c>
      <c r="Y45" s="244"/>
      <c r="Z45" s="244"/>
      <c r="AA45" s="244"/>
      <c r="AB45" s="17"/>
      <c r="AC45" s="12"/>
      <c r="AD45" s="68"/>
      <c r="AE45" s="85"/>
      <c r="AF45" s="85"/>
      <c r="AG45" s="85"/>
      <c r="AH45" s="85"/>
      <c r="AI45" s="85"/>
      <c r="AJ45" s="85"/>
      <c r="AK45" s="85"/>
      <c r="AL45" s="85"/>
      <c r="AM45" s="85"/>
      <c r="AN45" s="85"/>
      <c r="AO45" s="41"/>
    </row>
    <row r="46" spans="1:41" ht="15.75" thickBot="1" x14ac:dyDescent="0.3">
      <c r="A46" s="15"/>
      <c r="B46" s="12"/>
      <c r="C46" s="12"/>
      <c r="D46" s="12"/>
      <c r="E46" s="12"/>
      <c r="F46" s="12"/>
      <c r="G46" s="12"/>
      <c r="H46" s="12"/>
      <c r="I46" s="12"/>
      <c r="J46" s="12"/>
      <c r="K46" s="12"/>
      <c r="L46" s="12"/>
      <c r="M46" s="219" t="s">
        <v>429</v>
      </c>
      <c r="N46" s="220"/>
      <c r="O46" s="220"/>
      <c r="P46" s="220"/>
      <c r="Q46" s="220"/>
      <c r="R46" s="220"/>
      <c r="S46" s="220"/>
      <c r="T46" s="220"/>
      <c r="U46" s="220"/>
      <c r="V46" s="220"/>
      <c r="W46" s="220"/>
      <c r="X46" s="220"/>
      <c r="Y46" s="220"/>
      <c r="Z46" s="220"/>
      <c r="AA46" s="220"/>
      <c r="AB46" s="220"/>
      <c r="AC46" s="220"/>
      <c r="AD46" s="68"/>
      <c r="AE46" s="85"/>
      <c r="AF46" s="85"/>
      <c r="AG46" s="85"/>
      <c r="AH46" s="85"/>
      <c r="AI46" s="85"/>
      <c r="AJ46" s="85"/>
      <c r="AK46" s="85"/>
      <c r="AL46" s="85"/>
      <c r="AM46" s="85"/>
      <c r="AN46" s="85"/>
      <c r="AO46" s="41"/>
    </row>
    <row r="47" spans="1:41" ht="15" customHeight="1" x14ac:dyDescent="0.25">
      <c r="A47" s="15"/>
      <c r="B47" s="266" t="s">
        <v>38</v>
      </c>
      <c r="C47" s="267"/>
      <c r="D47" s="267"/>
      <c r="E47" s="267"/>
      <c r="F47" s="267"/>
      <c r="G47" s="267"/>
      <c r="H47" s="267"/>
      <c r="I47" s="267"/>
      <c r="J47" s="267"/>
      <c r="K47" s="268"/>
      <c r="L47" s="15"/>
      <c r="M47" s="220"/>
      <c r="N47" s="220"/>
      <c r="O47" s="220"/>
      <c r="P47" s="220"/>
      <c r="Q47" s="220"/>
      <c r="R47" s="220"/>
      <c r="S47" s="220"/>
      <c r="T47" s="220"/>
      <c r="U47" s="220"/>
      <c r="V47" s="220"/>
      <c r="W47" s="220"/>
      <c r="X47" s="220"/>
      <c r="Y47" s="220"/>
      <c r="Z47" s="220"/>
      <c r="AA47" s="220"/>
      <c r="AB47" s="220"/>
      <c r="AC47" s="220"/>
      <c r="AD47" s="12"/>
      <c r="AE47" s="41"/>
      <c r="AF47" s="41"/>
    </row>
    <row r="48" spans="1:41" ht="15" customHeight="1" x14ac:dyDescent="0.25">
      <c r="A48" s="15"/>
      <c r="B48" s="226" t="s">
        <v>39</v>
      </c>
      <c r="C48" s="227"/>
      <c r="D48" s="227"/>
      <c r="E48" s="227"/>
      <c r="F48" s="227"/>
      <c r="G48" s="227"/>
      <c r="H48" s="227"/>
      <c r="I48" s="227"/>
      <c r="J48" s="227"/>
      <c r="K48" s="228"/>
      <c r="L48" s="15"/>
      <c r="M48" s="223"/>
      <c r="N48" s="223"/>
      <c r="O48" s="223"/>
      <c r="P48" s="223"/>
      <c r="Q48" s="223"/>
      <c r="R48" s="223"/>
      <c r="S48" s="223"/>
      <c r="T48" s="223"/>
      <c r="U48" s="223"/>
      <c r="V48" s="223"/>
      <c r="W48" s="223"/>
      <c r="X48" s="223"/>
      <c r="Y48" s="223"/>
      <c r="Z48" s="57"/>
      <c r="AA48" s="57"/>
      <c r="AB48" s="57"/>
      <c r="AC48" s="57"/>
      <c r="AD48" s="12"/>
      <c r="AE48" s="41"/>
      <c r="AF48" s="41"/>
    </row>
    <row r="49" spans="1:32" x14ac:dyDescent="0.25">
      <c r="A49" s="15"/>
      <c r="B49" s="226"/>
      <c r="C49" s="227"/>
      <c r="D49" s="227"/>
      <c r="E49" s="227"/>
      <c r="F49" s="227"/>
      <c r="G49" s="227"/>
      <c r="H49" s="227"/>
      <c r="I49" s="227"/>
      <c r="J49" s="227"/>
      <c r="K49" s="228"/>
      <c r="L49" s="15"/>
      <c r="M49" s="224"/>
      <c r="N49" s="224"/>
      <c r="O49" s="224"/>
      <c r="P49" s="224"/>
      <c r="Q49" s="224"/>
      <c r="R49" s="224"/>
      <c r="S49" s="224"/>
      <c r="T49" s="224"/>
      <c r="U49" s="224"/>
      <c r="V49" s="224"/>
      <c r="W49" s="224"/>
      <c r="X49" s="224"/>
      <c r="Y49" s="224"/>
      <c r="Z49" s="57"/>
      <c r="AA49" s="57"/>
      <c r="AB49" s="57"/>
      <c r="AC49" s="57"/>
      <c r="AD49" s="12"/>
      <c r="AE49" s="41"/>
      <c r="AF49" s="41"/>
    </row>
    <row r="50" spans="1:32" x14ac:dyDescent="0.25">
      <c r="A50" s="17"/>
      <c r="B50" s="118" t="s">
        <v>40</v>
      </c>
      <c r="C50" s="232"/>
      <c r="D50" s="232"/>
      <c r="E50" s="232"/>
      <c r="F50" s="117">
        <v>0.5</v>
      </c>
      <c r="G50" s="14" t="s">
        <v>166</v>
      </c>
      <c r="H50" s="232"/>
      <c r="I50" s="232"/>
      <c r="J50" s="221" t="s">
        <v>168</v>
      </c>
      <c r="K50" s="222"/>
      <c r="L50" s="15"/>
      <c r="M50" s="39" t="s">
        <v>169</v>
      </c>
      <c r="N50" s="120"/>
      <c r="O50" s="120"/>
      <c r="P50" s="120"/>
      <c r="Q50" s="120"/>
      <c r="R50" s="120"/>
      <c r="S50" s="120"/>
      <c r="T50" s="15"/>
      <c r="U50" s="15"/>
      <c r="V50" s="15"/>
      <c r="W50" s="15"/>
      <c r="X50" s="15"/>
      <c r="Y50" s="15"/>
      <c r="Z50" s="57"/>
      <c r="AA50" s="57"/>
      <c r="AB50" s="57"/>
      <c r="AC50" s="57"/>
      <c r="AD50" s="12"/>
      <c r="AE50" s="41"/>
      <c r="AF50" s="41"/>
    </row>
    <row r="51" spans="1:32" x14ac:dyDescent="0.25">
      <c r="A51" s="15"/>
      <c r="B51" s="119" t="s">
        <v>41</v>
      </c>
      <c r="C51" s="232"/>
      <c r="D51" s="232"/>
      <c r="E51" s="232"/>
      <c r="F51" s="117">
        <v>0.5</v>
      </c>
      <c r="G51" s="16" t="s">
        <v>167</v>
      </c>
      <c r="H51" s="233"/>
      <c r="I51" s="233"/>
      <c r="J51" s="221" t="s">
        <v>168</v>
      </c>
      <c r="K51" s="222"/>
      <c r="L51" s="15"/>
      <c r="M51" s="225"/>
      <c r="N51" s="225"/>
      <c r="O51" s="225"/>
      <c r="P51" s="225"/>
      <c r="Q51" s="225"/>
      <c r="R51" s="225"/>
      <c r="S51" s="225"/>
      <c r="T51" s="225"/>
      <c r="U51" s="225"/>
      <c r="V51" s="225"/>
      <c r="W51" s="225"/>
      <c r="X51" s="225"/>
      <c r="Y51" s="225"/>
      <c r="Z51" s="57"/>
      <c r="AA51" s="57"/>
      <c r="AB51" s="57"/>
      <c r="AC51" s="57"/>
      <c r="AD51" s="12"/>
      <c r="AE51" s="41"/>
      <c r="AF51" s="41"/>
    </row>
    <row r="52" spans="1:32" ht="15.75" thickBot="1" x14ac:dyDescent="0.3">
      <c r="A52" s="17"/>
      <c r="B52" s="18"/>
      <c r="C52" s="80"/>
      <c r="D52" s="81"/>
      <c r="E52" s="116"/>
      <c r="F52" s="116"/>
      <c r="G52" s="116"/>
      <c r="H52" s="82"/>
      <c r="I52" s="83"/>
      <c r="J52" s="83"/>
      <c r="K52" s="84"/>
      <c r="L52" s="15"/>
      <c r="M52" s="225"/>
      <c r="N52" s="225"/>
      <c r="O52" s="225"/>
      <c r="P52" s="225"/>
      <c r="Q52" s="225"/>
      <c r="R52" s="225"/>
      <c r="S52" s="225"/>
      <c r="T52" s="225"/>
      <c r="U52" s="225"/>
      <c r="V52" s="225"/>
      <c r="W52" s="225"/>
      <c r="X52" s="225"/>
      <c r="Y52" s="225"/>
      <c r="Z52" s="57"/>
      <c r="AA52" s="57"/>
      <c r="AB52" s="57"/>
      <c r="AC52" s="57"/>
      <c r="AD52" s="12"/>
      <c r="AE52" s="41"/>
      <c r="AF52" s="41"/>
    </row>
    <row r="53" spans="1:32" ht="15.75" thickBot="1" x14ac:dyDescent="0.3">
      <c r="A53" s="17"/>
      <c r="B53" s="17"/>
      <c r="C53" s="17"/>
      <c r="D53" s="17"/>
      <c r="E53" s="17"/>
      <c r="F53" s="17"/>
      <c r="G53" s="17"/>
      <c r="H53" s="17"/>
      <c r="I53" s="17"/>
      <c r="J53" s="17"/>
      <c r="K53" s="17"/>
      <c r="L53" s="17"/>
      <c r="M53" s="114" t="s">
        <v>170</v>
      </c>
      <c r="N53" s="114"/>
      <c r="O53" s="114"/>
      <c r="P53" s="114"/>
      <c r="Q53" s="114"/>
      <c r="R53" s="32"/>
      <c r="S53" s="32"/>
      <c r="T53" s="32"/>
      <c r="U53" s="32"/>
      <c r="V53" s="32"/>
      <c r="W53" s="32"/>
      <c r="X53" s="32"/>
      <c r="Y53" s="32"/>
      <c r="Z53" s="17"/>
      <c r="AA53" s="17"/>
      <c r="AB53" s="17"/>
      <c r="AC53" s="17"/>
      <c r="AD53" s="12"/>
      <c r="AE53" s="41"/>
      <c r="AF53" s="41"/>
    </row>
    <row r="54" spans="1:32" ht="36.75" customHeight="1" thickBot="1" x14ac:dyDescent="0.3">
      <c r="A54" s="12"/>
      <c r="B54" s="229" t="s">
        <v>426</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1"/>
      <c r="AD54" s="12"/>
    </row>
    <row r="55" spans="1:32" x14ac:dyDescent="0.25">
      <c r="A55" s="41"/>
      <c r="AD55" s="41"/>
    </row>
  </sheetData>
  <sheetProtection algorithmName="SHA-512" hashValue="2XS9TfcXQ07Bo+IyhFHwWruJde92weLOqtIBYqLVggPpqMinObmmSXMkdY+mOb3wI/o8PUXUoQJ1HoTQDBSLNw==" saltValue="libTbOpb7/k3TGDL8eiz6g==" spinCount="100000" sheet="1" selectLockedCells="1"/>
  <mergeCells count="61">
    <mergeCell ref="B2:C2"/>
    <mergeCell ref="S1:T1"/>
    <mergeCell ref="C40:E40"/>
    <mergeCell ref="J40:K40"/>
    <mergeCell ref="V1:W1"/>
    <mergeCell ref="D2:I2"/>
    <mergeCell ref="O2:T2"/>
    <mergeCell ref="J2:K2"/>
    <mergeCell ref="O1:P1"/>
    <mergeCell ref="B1:C1"/>
    <mergeCell ref="D1:L1"/>
    <mergeCell ref="U2:W2"/>
    <mergeCell ref="B5:B14"/>
    <mergeCell ref="I5:I14"/>
    <mergeCell ref="P5:P14"/>
    <mergeCell ref="C39:D39"/>
    <mergeCell ref="M43:N43"/>
    <mergeCell ref="O41:P42"/>
    <mergeCell ref="J41:K41"/>
    <mergeCell ref="M40:R40"/>
    <mergeCell ref="M41:N42"/>
    <mergeCell ref="Q41:R41"/>
    <mergeCell ref="O43:P43"/>
    <mergeCell ref="C42:H42"/>
    <mergeCell ref="B47:K47"/>
    <mergeCell ref="C41:G41"/>
    <mergeCell ref="B16:B25"/>
    <mergeCell ref="I16:I25"/>
    <mergeCell ref="C43:G44"/>
    <mergeCell ref="W16:W25"/>
    <mergeCell ref="B27:B36"/>
    <mergeCell ref="I27:I36"/>
    <mergeCell ref="P27:P36"/>
    <mergeCell ref="J39:K39"/>
    <mergeCell ref="M44:R45"/>
    <mergeCell ref="Q43:R43"/>
    <mergeCell ref="Q42:R42"/>
    <mergeCell ref="AC1:AD1"/>
    <mergeCell ref="W27:W36"/>
    <mergeCell ref="W38:W41"/>
    <mergeCell ref="X45:AA45"/>
    <mergeCell ref="W43:Y44"/>
    <mergeCell ref="Z43:AA44"/>
    <mergeCell ref="AB43:AB44"/>
    <mergeCell ref="X2:Y2"/>
    <mergeCell ref="X1:Y1"/>
    <mergeCell ref="W5:W14"/>
    <mergeCell ref="AA1:AB1"/>
    <mergeCell ref="M2:N2"/>
    <mergeCell ref="P16:P25"/>
    <mergeCell ref="B54:AC54"/>
    <mergeCell ref="C50:E50"/>
    <mergeCell ref="C51:E51"/>
    <mergeCell ref="H50:I50"/>
    <mergeCell ref="H51:I51"/>
    <mergeCell ref="M46:AC47"/>
    <mergeCell ref="J50:K50"/>
    <mergeCell ref="J51:K51"/>
    <mergeCell ref="M48:Y49"/>
    <mergeCell ref="M51:Y52"/>
    <mergeCell ref="B48:K49"/>
  </mergeCells>
  <conditionalFormatting sqref="Z43">
    <cfRule type="cellIs" dxfId="3104" priority="31028" operator="lessThan">
      <formula>$X$2</formula>
    </cfRule>
    <cfRule type="cellIs" dxfId="3103" priority="31029" operator="greaterThan">
      <formula>$X$2</formula>
    </cfRule>
  </conditionalFormatting>
  <conditionalFormatting sqref="M41">
    <cfRule type="cellIs" dxfId="3102" priority="24358" operator="greaterThan">
      <formula>0</formula>
    </cfRule>
  </conditionalFormatting>
  <conditionalFormatting sqref="C5">
    <cfRule type="cellIs" dxfId="3101" priority="11596" operator="greaterThanOrEqual">
      <formula>6</formula>
    </cfRule>
    <cfRule type="cellIs" dxfId="3100" priority="11597" operator="between">
      <formula>0.1</formula>
      <formula>5.9</formula>
    </cfRule>
    <cfRule type="expression" dxfId="3099" priority="11599">
      <formula>C6=""</formula>
    </cfRule>
  </conditionalFormatting>
  <conditionalFormatting sqref="X38">
    <cfRule type="cellIs" dxfId="3098" priority="2504" operator="greaterThanOrEqual">
      <formula>6</formula>
    </cfRule>
    <cfRule type="cellIs" dxfId="3097" priority="2505" operator="between">
      <formula>0.1</formula>
      <formula>5.9</formula>
    </cfRule>
    <cfRule type="expression" dxfId="3096" priority="2507">
      <formula>X39=""</formula>
    </cfRule>
  </conditionalFormatting>
  <conditionalFormatting sqref="Y38:AB38">
    <cfRule type="cellIs" dxfId="3095" priority="2488" operator="greaterThanOrEqual">
      <formula>6</formula>
    </cfRule>
    <cfRule type="cellIs" dxfId="3094" priority="2489" operator="between">
      <formula>0.1</formula>
      <formula>5.9</formula>
    </cfRule>
    <cfRule type="expression" dxfId="3093" priority="2491">
      <formula>Y39=""</formula>
    </cfRule>
  </conditionalFormatting>
  <conditionalFormatting sqref="X40">
    <cfRule type="cellIs" dxfId="3092" priority="2472" operator="greaterThanOrEqual">
      <formula>6</formula>
    </cfRule>
    <cfRule type="cellIs" dxfId="3091" priority="2473" operator="between">
      <formula>0.1</formula>
      <formula>5.9</formula>
    </cfRule>
    <cfRule type="expression" dxfId="3090" priority="2475">
      <formula>X41=""</formula>
    </cfRule>
  </conditionalFormatting>
  <conditionalFormatting sqref="Y40:AB40">
    <cfRule type="cellIs" dxfId="3089" priority="2466" operator="greaterThanOrEqual">
      <formula>6</formula>
    </cfRule>
    <cfRule type="cellIs" dxfId="3088" priority="2467" operator="between">
      <formula>0.1</formula>
      <formula>5.9</formula>
    </cfRule>
    <cfRule type="expression" dxfId="3087" priority="2469">
      <formula>Y41=""</formula>
    </cfRule>
  </conditionalFormatting>
  <conditionalFormatting sqref="D1:L1">
    <cfRule type="containsBlanks" dxfId="3086" priority="2464">
      <formula>LEN(TRIM(D1))=0</formula>
    </cfRule>
  </conditionalFormatting>
  <conditionalFormatting sqref="O1:P1">
    <cfRule type="containsBlanks" dxfId="3085" priority="2463">
      <formula>LEN(TRIM(O1))=0</formula>
    </cfRule>
  </conditionalFormatting>
  <conditionalFormatting sqref="D2:I2">
    <cfRule type="containsBlanks" dxfId="3084" priority="2462">
      <formula>LEN(TRIM(D2))=0</formula>
    </cfRule>
  </conditionalFormatting>
  <conditionalFormatting sqref="L2">
    <cfRule type="containsBlanks" dxfId="3083" priority="2461">
      <formula>LEN(TRIM(L2))=0</formula>
    </cfRule>
  </conditionalFormatting>
  <conditionalFormatting sqref="X1:Y1">
    <cfRule type="containsBlanks" dxfId="3082" priority="2460">
      <formula>LEN(TRIM(X1))=0</formula>
    </cfRule>
  </conditionalFormatting>
  <conditionalFormatting sqref="C50:E51 H50:I51">
    <cfRule type="containsBlanks" dxfId="3081" priority="2459">
      <formula>LEN(TRIM(C50))=0</formula>
    </cfRule>
  </conditionalFormatting>
  <conditionalFormatting sqref="O2:T2">
    <cfRule type="containsBlanks" dxfId="3080" priority="2458">
      <formula>LEN(TRIM(O2))=0</formula>
    </cfRule>
  </conditionalFormatting>
  <conditionalFormatting sqref="D5">
    <cfRule type="cellIs" dxfId="3079" priority="2451" operator="greaterThanOrEqual">
      <formula>6</formula>
    </cfRule>
    <cfRule type="cellIs" dxfId="3078" priority="2452" operator="between">
      <formula>0.1</formula>
      <formula>5.9</formula>
    </cfRule>
    <cfRule type="expression" dxfId="3077" priority="2454">
      <formula>D6=""</formula>
    </cfRule>
  </conditionalFormatting>
  <conditionalFormatting sqref="E5:G5">
    <cfRule type="cellIs" dxfId="3076" priority="2439" operator="greaterThanOrEqual">
      <formula>6</formula>
    </cfRule>
    <cfRule type="cellIs" dxfId="3075" priority="2440" operator="between">
      <formula>0.1</formula>
      <formula>5.9</formula>
    </cfRule>
    <cfRule type="expression" dxfId="3074" priority="2442">
      <formula>E6=""</formula>
    </cfRule>
  </conditionalFormatting>
  <conditionalFormatting sqref="C7">
    <cfRule type="cellIs" dxfId="3073" priority="2427" operator="greaterThanOrEqual">
      <formula>6</formula>
    </cfRule>
    <cfRule type="cellIs" dxfId="3072" priority="2428" operator="between">
      <formula>0.1</formula>
      <formula>5.9</formula>
    </cfRule>
    <cfRule type="expression" dxfId="3071" priority="2430">
      <formula>C8=""</formula>
    </cfRule>
  </conditionalFormatting>
  <conditionalFormatting sqref="D7">
    <cfRule type="cellIs" dxfId="3070" priority="2415" operator="greaterThanOrEqual">
      <formula>6</formula>
    </cfRule>
    <cfRule type="cellIs" dxfId="3069" priority="2416" operator="between">
      <formula>0.1</formula>
      <formula>5.9</formula>
    </cfRule>
    <cfRule type="expression" dxfId="3068" priority="2418">
      <formula>D8=""</formula>
    </cfRule>
  </conditionalFormatting>
  <conditionalFormatting sqref="E7:G7">
    <cfRule type="cellIs" dxfId="3067" priority="2403" operator="greaterThanOrEqual">
      <formula>6</formula>
    </cfRule>
    <cfRule type="cellIs" dxfId="3066" priority="2404" operator="between">
      <formula>0.1</formula>
      <formula>5.9</formula>
    </cfRule>
    <cfRule type="expression" dxfId="3065" priority="2406">
      <formula>E8=""</formula>
    </cfRule>
  </conditionalFormatting>
  <conditionalFormatting sqref="C9">
    <cfRule type="cellIs" dxfId="3064" priority="2391" operator="greaterThanOrEqual">
      <formula>6</formula>
    </cfRule>
    <cfRule type="cellIs" dxfId="3063" priority="2392" operator="between">
      <formula>0.1</formula>
      <formula>5.9</formula>
    </cfRule>
    <cfRule type="expression" dxfId="3062" priority="2394">
      <formula>C10=""</formula>
    </cfRule>
  </conditionalFormatting>
  <conditionalFormatting sqref="D9">
    <cfRule type="cellIs" dxfId="3061" priority="2379" operator="greaterThanOrEqual">
      <formula>6</formula>
    </cfRule>
    <cfRule type="cellIs" dxfId="3060" priority="2380" operator="between">
      <formula>0.1</formula>
      <formula>5.9</formula>
    </cfRule>
    <cfRule type="expression" dxfId="3059" priority="2382">
      <formula>D10=""</formula>
    </cfRule>
  </conditionalFormatting>
  <conditionalFormatting sqref="E9:G9">
    <cfRule type="cellIs" dxfId="3058" priority="2367" operator="greaterThanOrEqual">
      <formula>6</formula>
    </cfRule>
    <cfRule type="cellIs" dxfId="3057" priority="2368" operator="between">
      <formula>0.1</formula>
      <formula>5.9</formula>
    </cfRule>
    <cfRule type="expression" dxfId="3056" priority="2370">
      <formula>E10=""</formula>
    </cfRule>
  </conditionalFormatting>
  <conditionalFormatting sqref="C11">
    <cfRule type="cellIs" dxfId="3055" priority="2355" operator="greaterThanOrEqual">
      <formula>6</formula>
    </cfRule>
    <cfRule type="cellIs" dxfId="3054" priority="2356" operator="between">
      <formula>0.1</formula>
      <formula>5.9</formula>
    </cfRule>
    <cfRule type="expression" dxfId="3053" priority="2358">
      <formula>C12=""</formula>
    </cfRule>
  </conditionalFormatting>
  <conditionalFormatting sqref="D11">
    <cfRule type="cellIs" dxfId="3052" priority="2343" operator="greaterThanOrEqual">
      <formula>6</formula>
    </cfRule>
    <cfRule type="cellIs" dxfId="3051" priority="2344" operator="between">
      <formula>0.1</formula>
      <formula>5.9</formula>
    </cfRule>
    <cfRule type="expression" dxfId="3050" priority="2346">
      <formula>D12=""</formula>
    </cfRule>
  </conditionalFormatting>
  <conditionalFormatting sqref="E11:G11">
    <cfRule type="cellIs" dxfId="3049" priority="2331" operator="greaterThanOrEqual">
      <formula>6</formula>
    </cfRule>
    <cfRule type="cellIs" dxfId="3048" priority="2332" operator="between">
      <formula>0.1</formula>
      <formula>5.9</formula>
    </cfRule>
    <cfRule type="expression" dxfId="3047" priority="2334">
      <formula>E12=""</formula>
    </cfRule>
  </conditionalFormatting>
  <conditionalFormatting sqref="C13">
    <cfRule type="cellIs" dxfId="3046" priority="2319" operator="greaterThanOrEqual">
      <formula>6</formula>
    </cfRule>
    <cfRule type="cellIs" dxfId="3045" priority="2320" operator="between">
      <formula>0.1</formula>
      <formula>5.9</formula>
    </cfRule>
    <cfRule type="expression" dxfId="3044" priority="2322">
      <formula>C14=""</formula>
    </cfRule>
  </conditionalFormatting>
  <conditionalFormatting sqref="D13">
    <cfRule type="cellIs" dxfId="3043" priority="2307" operator="greaterThanOrEqual">
      <formula>6</formula>
    </cfRule>
    <cfRule type="cellIs" dxfId="3042" priority="2308" operator="between">
      <formula>0.1</formula>
      <formula>5.9</formula>
    </cfRule>
    <cfRule type="expression" dxfId="3041" priority="2310">
      <formula>D14=""</formula>
    </cfRule>
  </conditionalFormatting>
  <conditionalFormatting sqref="E13:G13">
    <cfRule type="cellIs" dxfId="3040" priority="2295" operator="greaterThanOrEqual">
      <formula>6</formula>
    </cfRule>
    <cfRule type="cellIs" dxfId="3039" priority="2296" operator="between">
      <formula>0.1</formula>
      <formula>5.9</formula>
    </cfRule>
    <cfRule type="expression" dxfId="3038" priority="2298">
      <formula>E14=""</formula>
    </cfRule>
  </conditionalFormatting>
  <conditionalFormatting sqref="J5">
    <cfRule type="cellIs" dxfId="3037" priority="2283" operator="greaterThanOrEqual">
      <formula>6</formula>
    </cfRule>
    <cfRule type="cellIs" dxfId="3036" priority="2284" operator="between">
      <formula>0.1</formula>
      <formula>5.9</formula>
    </cfRule>
    <cfRule type="expression" dxfId="3035" priority="2286">
      <formula>J6=""</formula>
    </cfRule>
  </conditionalFormatting>
  <conditionalFormatting sqref="K5">
    <cfRule type="cellIs" dxfId="3034" priority="2271" operator="greaterThanOrEqual">
      <formula>6</formula>
    </cfRule>
    <cfRule type="cellIs" dxfId="3033" priority="2272" operator="between">
      <formula>0.1</formula>
      <formula>5.9</formula>
    </cfRule>
    <cfRule type="expression" dxfId="3032" priority="2274">
      <formula>K6=""</formula>
    </cfRule>
  </conditionalFormatting>
  <conditionalFormatting sqref="L5:N5">
    <cfRule type="cellIs" dxfId="3031" priority="2259" operator="greaterThanOrEqual">
      <formula>6</formula>
    </cfRule>
    <cfRule type="cellIs" dxfId="3030" priority="2260" operator="between">
      <formula>0.1</formula>
      <formula>5.9</formula>
    </cfRule>
    <cfRule type="expression" dxfId="3029" priority="2262">
      <formula>L6=""</formula>
    </cfRule>
  </conditionalFormatting>
  <conditionalFormatting sqref="J7">
    <cfRule type="cellIs" dxfId="3028" priority="2247" operator="greaterThanOrEqual">
      <formula>6</formula>
    </cfRule>
    <cfRule type="cellIs" dxfId="3027" priority="2248" operator="between">
      <formula>0.1</formula>
      <formula>5.9</formula>
    </cfRule>
    <cfRule type="expression" dxfId="3026" priority="2250">
      <formula>J8=""</formula>
    </cfRule>
  </conditionalFormatting>
  <conditionalFormatting sqref="K7">
    <cfRule type="cellIs" dxfId="3025" priority="2235" operator="greaterThanOrEqual">
      <formula>6</formula>
    </cfRule>
    <cfRule type="cellIs" dxfId="3024" priority="2236" operator="between">
      <formula>0.1</formula>
      <formula>5.9</formula>
    </cfRule>
    <cfRule type="expression" dxfId="3023" priority="2238">
      <formula>K8=""</formula>
    </cfRule>
  </conditionalFormatting>
  <conditionalFormatting sqref="L7:N7">
    <cfRule type="cellIs" dxfId="3022" priority="2223" operator="greaterThanOrEqual">
      <formula>6</formula>
    </cfRule>
    <cfRule type="cellIs" dxfId="3021" priority="2224" operator="between">
      <formula>0.1</formula>
      <formula>5.9</formula>
    </cfRule>
    <cfRule type="expression" dxfId="3020" priority="2226">
      <formula>L8=""</formula>
    </cfRule>
  </conditionalFormatting>
  <conditionalFormatting sqref="J9">
    <cfRule type="cellIs" dxfId="3019" priority="2211" operator="greaterThanOrEqual">
      <formula>6</formula>
    </cfRule>
    <cfRule type="cellIs" dxfId="3018" priority="2212" operator="between">
      <formula>0.1</formula>
      <formula>5.9</formula>
    </cfRule>
    <cfRule type="expression" dxfId="3017" priority="2214">
      <formula>J10=""</formula>
    </cfRule>
  </conditionalFormatting>
  <conditionalFormatting sqref="K9">
    <cfRule type="cellIs" dxfId="3016" priority="2199" operator="greaterThanOrEqual">
      <formula>6</formula>
    </cfRule>
    <cfRule type="cellIs" dxfId="3015" priority="2200" operator="between">
      <formula>0.1</formula>
      <formula>5.9</formula>
    </cfRule>
    <cfRule type="expression" dxfId="3014" priority="2202">
      <formula>K10=""</formula>
    </cfRule>
  </conditionalFormatting>
  <conditionalFormatting sqref="L9:N9">
    <cfRule type="cellIs" dxfId="3013" priority="2187" operator="greaterThanOrEqual">
      <formula>6</formula>
    </cfRule>
    <cfRule type="cellIs" dxfId="3012" priority="2188" operator="between">
      <formula>0.1</formula>
      <formula>5.9</formula>
    </cfRule>
    <cfRule type="expression" dxfId="3011" priority="2190">
      <formula>L10=""</formula>
    </cfRule>
  </conditionalFormatting>
  <conditionalFormatting sqref="J11">
    <cfRule type="cellIs" dxfId="3010" priority="2175" operator="greaterThanOrEqual">
      <formula>6</formula>
    </cfRule>
    <cfRule type="cellIs" dxfId="3009" priority="2176" operator="between">
      <formula>0.1</formula>
      <formula>5.9</formula>
    </cfRule>
    <cfRule type="expression" dxfId="3008" priority="2178">
      <formula>J12=""</formula>
    </cfRule>
  </conditionalFormatting>
  <conditionalFormatting sqref="K11">
    <cfRule type="cellIs" dxfId="3007" priority="2163" operator="greaterThanOrEqual">
      <formula>6</formula>
    </cfRule>
    <cfRule type="cellIs" dxfId="3006" priority="2164" operator="between">
      <formula>0.1</formula>
      <formula>5.9</formula>
    </cfRule>
    <cfRule type="expression" dxfId="3005" priority="2166">
      <formula>K12=""</formula>
    </cfRule>
  </conditionalFormatting>
  <conditionalFormatting sqref="L11:N11">
    <cfRule type="cellIs" dxfId="3004" priority="2151" operator="greaterThanOrEqual">
      <formula>6</formula>
    </cfRule>
    <cfRule type="cellIs" dxfId="3003" priority="2152" operator="between">
      <formula>0.1</formula>
      <formula>5.9</formula>
    </cfRule>
    <cfRule type="expression" dxfId="3002" priority="2154">
      <formula>L12=""</formula>
    </cfRule>
  </conditionalFormatting>
  <conditionalFormatting sqref="J13">
    <cfRule type="cellIs" dxfId="3001" priority="2139" operator="greaterThanOrEqual">
      <formula>6</formula>
    </cfRule>
    <cfRule type="cellIs" dxfId="3000" priority="2140" operator="between">
      <formula>0.1</formula>
      <formula>5.9</formula>
    </cfRule>
    <cfRule type="expression" dxfId="2999" priority="2142">
      <formula>J14=""</formula>
    </cfRule>
  </conditionalFormatting>
  <conditionalFormatting sqref="K13">
    <cfRule type="cellIs" dxfId="2998" priority="2127" operator="greaterThanOrEqual">
      <formula>6</formula>
    </cfRule>
    <cfRule type="cellIs" dxfId="2997" priority="2128" operator="between">
      <formula>0.1</formula>
      <formula>5.9</formula>
    </cfRule>
    <cfRule type="expression" dxfId="2996" priority="2130">
      <formula>K14=""</formula>
    </cfRule>
  </conditionalFormatting>
  <conditionalFormatting sqref="L13:N13">
    <cfRule type="cellIs" dxfId="2995" priority="2115" operator="greaterThanOrEqual">
      <formula>6</formula>
    </cfRule>
    <cfRule type="cellIs" dxfId="2994" priority="2116" operator="between">
      <formula>0.1</formula>
      <formula>5.9</formula>
    </cfRule>
    <cfRule type="expression" dxfId="2993" priority="2118">
      <formula>L14=""</formula>
    </cfRule>
  </conditionalFormatting>
  <conditionalFormatting sqref="Q5">
    <cfRule type="cellIs" dxfId="2992" priority="2103" operator="greaterThanOrEqual">
      <formula>6</formula>
    </cfRule>
    <cfRule type="cellIs" dxfId="2991" priority="2104" operator="between">
      <formula>0.1</formula>
      <formula>5.9</formula>
    </cfRule>
    <cfRule type="expression" dxfId="2990" priority="2106">
      <formula>Q6=""</formula>
    </cfRule>
  </conditionalFormatting>
  <conditionalFormatting sqref="R5">
    <cfRule type="cellIs" dxfId="2989" priority="2091" operator="greaterThanOrEqual">
      <formula>6</formula>
    </cfRule>
    <cfRule type="cellIs" dxfId="2988" priority="2092" operator="between">
      <formula>0.1</formula>
      <formula>5.9</formula>
    </cfRule>
    <cfRule type="expression" dxfId="2987" priority="2094">
      <formula>R6=""</formula>
    </cfRule>
  </conditionalFormatting>
  <conditionalFormatting sqref="S5:U5">
    <cfRule type="cellIs" dxfId="2986" priority="2079" operator="greaterThanOrEqual">
      <formula>6</formula>
    </cfRule>
    <cfRule type="cellIs" dxfId="2985" priority="2080" operator="between">
      <formula>0.1</formula>
      <formula>5.9</formula>
    </cfRule>
    <cfRule type="expression" dxfId="2984" priority="2082">
      <formula>S6=""</formula>
    </cfRule>
  </conditionalFormatting>
  <conditionalFormatting sqref="Q7">
    <cfRule type="cellIs" dxfId="2983" priority="2067" operator="greaterThanOrEqual">
      <formula>6</formula>
    </cfRule>
    <cfRule type="cellIs" dxfId="2982" priority="2068" operator="between">
      <formula>0.1</formula>
      <formula>5.9</formula>
    </cfRule>
    <cfRule type="expression" dxfId="2981" priority="2070">
      <formula>Q8=""</formula>
    </cfRule>
  </conditionalFormatting>
  <conditionalFormatting sqref="R7">
    <cfRule type="cellIs" dxfId="2980" priority="2055" operator="greaterThanOrEqual">
      <formula>6</formula>
    </cfRule>
    <cfRule type="cellIs" dxfId="2979" priority="2056" operator="between">
      <formula>0.1</formula>
      <formula>5.9</formula>
    </cfRule>
    <cfRule type="expression" dxfId="2978" priority="2058">
      <formula>R8=""</formula>
    </cfRule>
  </conditionalFormatting>
  <conditionalFormatting sqref="S7:U7">
    <cfRule type="cellIs" dxfId="2977" priority="2043" operator="greaterThanOrEqual">
      <formula>6</formula>
    </cfRule>
    <cfRule type="cellIs" dxfId="2976" priority="2044" operator="between">
      <formula>0.1</formula>
      <formula>5.9</formula>
    </cfRule>
    <cfRule type="expression" dxfId="2975" priority="2046">
      <formula>S8=""</formula>
    </cfRule>
  </conditionalFormatting>
  <conditionalFormatting sqref="Q9">
    <cfRule type="cellIs" dxfId="2974" priority="2031" operator="greaterThanOrEqual">
      <formula>6</formula>
    </cfRule>
    <cfRule type="cellIs" dxfId="2973" priority="2032" operator="between">
      <formula>0.1</formula>
      <formula>5.9</formula>
    </cfRule>
    <cfRule type="expression" dxfId="2972" priority="2034">
      <formula>Q10=""</formula>
    </cfRule>
  </conditionalFormatting>
  <conditionalFormatting sqref="R9">
    <cfRule type="cellIs" dxfId="2971" priority="2019" operator="greaterThanOrEqual">
      <formula>6</formula>
    </cfRule>
    <cfRule type="cellIs" dxfId="2970" priority="2020" operator="between">
      <formula>0.1</formula>
      <formula>5.9</formula>
    </cfRule>
    <cfRule type="expression" dxfId="2969" priority="2022">
      <formula>R10=""</formula>
    </cfRule>
  </conditionalFormatting>
  <conditionalFormatting sqref="S9:U9">
    <cfRule type="cellIs" dxfId="2968" priority="2007" operator="greaterThanOrEqual">
      <formula>6</formula>
    </cfRule>
    <cfRule type="cellIs" dxfId="2967" priority="2008" operator="between">
      <formula>0.1</formula>
      <formula>5.9</formula>
    </cfRule>
    <cfRule type="expression" dxfId="2966" priority="2010">
      <formula>S10=""</formula>
    </cfRule>
  </conditionalFormatting>
  <conditionalFormatting sqref="Q11">
    <cfRule type="cellIs" dxfId="2965" priority="1995" operator="greaterThanOrEqual">
      <formula>6</formula>
    </cfRule>
    <cfRule type="cellIs" dxfId="2964" priority="1996" operator="between">
      <formula>0.1</formula>
      <formula>5.9</formula>
    </cfRule>
    <cfRule type="expression" dxfId="2963" priority="1998">
      <formula>Q12=""</formula>
    </cfRule>
  </conditionalFormatting>
  <conditionalFormatting sqref="R11">
    <cfRule type="cellIs" dxfId="2962" priority="1983" operator="greaterThanOrEqual">
      <formula>6</formula>
    </cfRule>
    <cfRule type="cellIs" dxfId="2961" priority="1984" operator="between">
      <formula>0.1</formula>
      <formula>5.9</formula>
    </cfRule>
    <cfRule type="expression" dxfId="2960" priority="1986">
      <formula>R12=""</formula>
    </cfRule>
  </conditionalFormatting>
  <conditionalFormatting sqref="S11:U11">
    <cfRule type="cellIs" dxfId="2959" priority="1971" operator="greaterThanOrEqual">
      <formula>6</formula>
    </cfRule>
    <cfRule type="cellIs" dxfId="2958" priority="1972" operator="between">
      <formula>0.1</formula>
      <formula>5.9</formula>
    </cfRule>
    <cfRule type="expression" dxfId="2957" priority="1974">
      <formula>S12=""</formula>
    </cfRule>
  </conditionalFormatting>
  <conditionalFormatting sqref="Q13">
    <cfRule type="cellIs" dxfId="2956" priority="1959" operator="greaterThanOrEqual">
      <formula>6</formula>
    </cfRule>
    <cfRule type="cellIs" dxfId="2955" priority="1960" operator="between">
      <formula>0.1</formula>
      <formula>5.9</formula>
    </cfRule>
    <cfRule type="expression" dxfId="2954" priority="1962">
      <formula>Q14=""</formula>
    </cfRule>
  </conditionalFormatting>
  <conditionalFormatting sqref="R13">
    <cfRule type="cellIs" dxfId="2953" priority="1947" operator="greaterThanOrEqual">
      <formula>6</formula>
    </cfRule>
    <cfRule type="cellIs" dxfId="2952" priority="1948" operator="between">
      <formula>0.1</formula>
      <formula>5.9</formula>
    </cfRule>
    <cfRule type="expression" dxfId="2951" priority="1950">
      <formula>R14=""</formula>
    </cfRule>
  </conditionalFormatting>
  <conditionalFormatting sqref="S13:U13">
    <cfRule type="cellIs" dxfId="2950" priority="1935" operator="greaterThanOrEqual">
      <formula>6</formula>
    </cfRule>
    <cfRule type="cellIs" dxfId="2949" priority="1936" operator="between">
      <formula>0.1</formula>
      <formula>5.9</formula>
    </cfRule>
    <cfRule type="expression" dxfId="2948" priority="1938">
      <formula>S14=""</formula>
    </cfRule>
  </conditionalFormatting>
  <conditionalFormatting sqref="X5">
    <cfRule type="cellIs" dxfId="2947" priority="1923" operator="greaterThanOrEqual">
      <formula>6</formula>
    </cfRule>
    <cfRule type="cellIs" dxfId="2946" priority="1924" operator="between">
      <formula>0.1</formula>
      <formula>5.9</formula>
    </cfRule>
    <cfRule type="expression" dxfId="2945" priority="1926">
      <formula>X6=""</formula>
    </cfRule>
  </conditionalFormatting>
  <conditionalFormatting sqref="Y5">
    <cfRule type="cellIs" dxfId="2944" priority="1911" operator="greaterThanOrEqual">
      <formula>6</formula>
    </cfRule>
    <cfRule type="cellIs" dxfId="2943" priority="1912" operator="between">
      <formula>0.1</formula>
      <formula>5.9</formula>
    </cfRule>
    <cfRule type="expression" dxfId="2942" priority="1914">
      <formula>Y6=""</formula>
    </cfRule>
  </conditionalFormatting>
  <conditionalFormatting sqref="Z5:AB5">
    <cfRule type="cellIs" dxfId="2941" priority="1899" operator="greaterThanOrEqual">
      <formula>6</formula>
    </cfRule>
    <cfRule type="cellIs" dxfId="2940" priority="1900" operator="between">
      <formula>0.1</formula>
      <formula>5.9</formula>
    </cfRule>
    <cfRule type="expression" dxfId="2939" priority="1902">
      <formula>Z6=""</formula>
    </cfRule>
  </conditionalFormatting>
  <conditionalFormatting sqref="X7">
    <cfRule type="cellIs" dxfId="2938" priority="1887" operator="greaterThanOrEqual">
      <formula>6</formula>
    </cfRule>
    <cfRule type="cellIs" dxfId="2937" priority="1888" operator="between">
      <formula>0.1</formula>
      <formula>5.9</formula>
    </cfRule>
    <cfRule type="expression" dxfId="2936" priority="1890">
      <formula>X8=""</formula>
    </cfRule>
  </conditionalFormatting>
  <conditionalFormatting sqref="Y7">
    <cfRule type="cellIs" dxfId="2935" priority="1875" operator="greaterThanOrEqual">
      <formula>6</formula>
    </cfRule>
    <cfRule type="cellIs" dxfId="2934" priority="1876" operator="between">
      <formula>0.1</formula>
      <formula>5.9</formula>
    </cfRule>
    <cfRule type="expression" dxfId="2933" priority="1878">
      <formula>Y8=""</formula>
    </cfRule>
  </conditionalFormatting>
  <conditionalFormatting sqref="Z7:AB7">
    <cfRule type="cellIs" dxfId="2932" priority="1863" operator="greaterThanOrEqual">
      <formula>6</formula>
    </cfRule>
    <cfRule type="cellIs" dxfId="2931" priority="1864" operator="between">
      <formula>0.1</formula>
      <formula>5.9</formula>
    </cfRule>
    <cfRule type="expression" dxfId="2930" priority="1866">
      <formula>Z8=""</formula>
    </cfRule>
  </conditionalFormatting>
  <conditionalFormatting sqref="X9">
    <cfRule type="cellIs" dxfId="2929" priority="1851" operator="greaterThanOrEqual">
      <formula>6</formula>
    </cfRule>
    <cfRule type="cellIs" dxfId="2928" priority="1852" operator="between">
      <formula>0.1</formula>
      <formula>5.9</formula>
    </cfRule>
    <cfRule type="expression" dxfId="2927" priority="1854">
      <formula>X10=""</formula>
    </cfRule>
  </conditionalFormatting>
  <conditionalFormatting sqref="Y9">
    <cfRule type="cellIs" dxfId="2926" priority="1839" operator="greaterThanOrEqual">
      <formula>6</formula>
    </cfRule>
    <cfRule type="cellIs" dxfId="2925" priority="1840" operator="between">
      <formula>0.1</formula>
      <formula>5.9</formula>
    </cfRule>
    <cfRule type="expression" dxfId="2924" priority="1842">
      <formula>Y10=""</formula>
    </cfRule>
  </conditionalFormatting>
  <conditionalFormatting sqref="Z9:AB9">
    <cfRule type="cellIs" dxfId="2923" priority="1827" operator="greaterThanOrEqual">
      <formula>6</formula>
    </cfRule>
    <cfRule type="cellIs" dxfId="2922" priority="1828" operator="between">
      <formula>0.1</formula>
      <formula>5.9</formula>
    </cfRule>
    <cfRule type="expression" dxfId="2921" priority="1830">
      <formula>Z10=""</formula>
    </cfRule>
  </conditionalFormatting>
  <conditionalFormatting sqref="X11">
    <cfRule type="cellIs" dxfId="2920" priority="1815" operator="greaterThanOrEqual">
      <formula>6</formula>
    </cfRule>
    <cfRule type="cellIs" dxfId="2919" priority="1816" operator="between">
      <formula>0.1</formula>
      <formula>5.9</formula>
    </cfRule>
    <cfRule type="expression" dxfId="2918" priority="1818">
      <formula>X12=""</formula>
    </cfRule>
  </conditionalFormatting>
  <conditionalFormatting sqref="Y11">
    <cfRule type="cellIs" dxfId="2917" priority="1803" operator="greaterThanOrEqual">
      <formula>6</formula>
    </cfRule>
    <cfRule type="cellIs" dxfId="2916" priority="1804" operator="between">
      <formula>0.1</formula>
      <formula>5.9</formula>
    </cfRule>
    <cfRule type="expression" dxfId="2915" priority="1806">
      <formula>Y12=""</formula>
    </cfRule>
  </conditionalFormatting>
  <conditionalFormatting sqref="Z11:AB11">
    <cfRule type="cellIs" dxfId="2914" priority="1791" operator="greaterThanOrEqual">
      <formula>6</formula>
    </cfRule>
    <cfRule type="cellIs" dxfId="2913" priority="1792" operator="between">
      <formula>0.1</formula>
      <formula>5.9</formula>
    </cfRule>
    <cfRule type="expression" dxfId="2912" priority="1794">
      <formula>Z12=""</formula>
    </cfRule>
  </conditionalFormatting>
  <conditionalFormatting sqref="X13">
    <cfRule type="cellIs" dxfId="2911" priority="1779" operator="greaterThanOrEqual">
      <formula>6</formula>
    </cfRule>
    <cfRule type="cellIs" dxfId="2910" priority="1780" operator="between">
      <formula>0.1</formula>
      <formula>5.9</formula>
    </cfRule>
    <cfRule type="expression" dxfId="2909" priority="1782">
      <formula>X14=""</formula>
    </cfRule>
  </conditionalFormatting>
  <conditionalFormatting sqref="Y13">
    <cfRule type="cellIs" dxfId="2908" priority="1767" operator="greaterThanOrEqual">
      <formula>6</formula>
    </cfRule>
    <cfRule type="cellIs" dxfId="2907" priority="1768" operator="between">
      <formula>0.1</formula>
      <formula>5.9</formula>
    </cfRule>
    <cfRule type="expression" dxfId="2906" priority="1770">
      <formula>Y14=""</formula>
    </cfRule>
  </conditionalFormatting>
  <conditionalFormatting sqref="Z13:AB13">
    <cfRule type="cellIs" dxfId="2905" priority="1755" operator="greaterThanOrEqual">
      <formula>6</formula>
    </cfRule>
    <cfRule type="cellIs" dxfId="2904" priority="1756" operator="between">
      <formula>0.1</formula>
      <formula>5.9</formula>
    </cfRule>
    <cfRule type="expression" dxfId="2903" priority="1758">
      <formula>Z14=""</formula>
    </cfRule>
  </conditionalFormatting>
  <conditionalFormatting sqref="C16">
    <cfRule type="cellIs" dxfId="2902" priority="1743" operator="greaterThanOrEqual">
      <formula>6</formula>
    </cfRule>
    <cfRule type="cellIs" dxfId="2901" priority="1744" operator="between">
      <formula>0.1</formula>
      <formula>5.9</formula>
    </cfRule>
    <cfRule type="expression" dxfId="2900" priority="1746">
      <formula>C17=""</formula>
    </cfRule>
  </conditionalFormatting>
  <conditionalFormatting sqref="D16">
    <cfRule type="cellIs" dxfId="2899" priority="1731" operator="greaterThanOrEqual">
      <formula>6</formula>
    </cfRule>
    <cfRule type="cellIs" dxfId="2898" priority="1732" operator="between">
      <formula>0.1</formula>
      <formula>5.9</formula>
    </cfRule>
    <cfRule type="expression" dxfId="2897" priority="1734">
      <formula>D17=""</formula>
    </cfRule>
  </conditionalFormatting>
  <conditionalFormatting sqref="E16:G16">
    <cfRule type="cellIs" dxfId="2896" priority="1719" operator="greaterThanOrEqual">
      <formula>6</formula>
    </cfRule>
    <cfRule type="cellIs" dxfId="2895" priority="1720" operator="between">
      <formula>0.1</formula>
      <formula>5.9</formula>
    </cfRule>
    <cfRule type="expression" dxfId="2894" priority="1722">
      <formula>E17=""</formula>
    </cfRule>
  </conditionalFormatting>
  <conditionalFormatting sqref="C18">
    <cfRule type="cellIs" dxfId="2893" priority="1707" operator="greaterThanOrEqual">
      <formula>6</formula>
    </cfRule>
    <cfRule type="cellIs" dxfId="2892" priority="1708" operator="between">
      <formula>0.1</formula>
      <formula>5.9</formula>
    </cfRule>
    <cfRule type="expression" dxfId="2891" priority="1710">
      <formula>C19=""</formula>
    </cfRule>
  </conditionalFormatting>
  <conditionalFormatting sqref="D18">
    <cfRule type="cellIs" dxfId="2890" priority="1695" operator="greaterThanOrEqual">
      <formula>6</formula>
    </cfRule>
    <cfRule type="cellIs" dxfId="2889" priority="1696" operator="between">
      <formula>0.1</formula>
      <formula>5.9</formula>
    </cfRule>
    <cfRule type="expression" dxfId="2888" priority="1698">
      <formula>D19=""</formula>
    </cfRule>
  </conditionalFormatting>
  <conditionalFormatting sqref="E18:G18">
    <cfRule type="cellIs" dxfId="2887" priority="1683" operator="greaterThanOrEqual">
      <formula>6</formula>
    </cfRule>
    <cfRule type="cellIs" dxfId="2886" priority="1684" operator="between">
      <formula>0.1</formula>
      <formula>5.9</formula>
    </cfRule>
    <cfRule type="expression" dxfId="2885" priority="1686">
      <formula>E19=""</formula>
    </cfRule>
  </conditionalFormatting>
  <conditionalFormatting sqref="C20">
    <cfRule type="cellIs" dxfId="2884" priority="1671" operator="greaterThanOrEqual">
      <formula>6</formula>
    </cfRule>
    <cfRule type="cellIs" dxfId="2883" priority="1672" operator="between">
      <formula>0.1</formula>
      <formula>5.9</formula>
    </cfRule>
    <cfRule type="expression" dxfId="2882" priority="1674">
      <formula>C21=""</formula>
    </cfRule>
  </conditionalFormatting>
  <conditionalFormatting sqref="D20">
    <cfRule type="cellIs" dxfId="2881" priority="1659" operator="greaterThanOrEqual">
      <formula>6</formula>
    </cfRule>
    <cfRule type="cellIs" dxfId="2880" priority="1660" operator="between">
      <formula>0.1</formula>
      <formula>5.9</formula>
    </cfRule>
    <cfRule type="expression" dxfId="2879" priority="1662">
      <formula>D21=""</formula>
    </cfRule>
  </conditionalFormatting>
  <conditionalFormatting sqref="E20:G20">
    <cfRule type="cellIs" dxfId="2878" priority="1647" operator="greaterThanOrEqual">
      <formula>6</formula>
    </cfRule>
    <cfRule type="cellIs" dxfId="2877" priority="1648" operator="between">
      <formula>0.1</formula>
      <formula>5.9</formula>
    </cfRule>
    <cfRule type="expression" dxfId="2876" priority="1650">
      <formula>E21=""</formula>
    </cfRule>
  </conditionalFormatting>
  <conditionalFormatting sqref="C22">
    <cfRule type="cellIs" dxfId="2875" priority="1635" operator="greaterThanOrEqual">
      <formula>6</formula>
    </cfRule>
    <cfRule type="cellIs" dxfId="2874" priority="1636" operator="between">
      <formula>0.1</formula>
      <formula>5.9</formula>
    </cfRule>
    <cfRule type="expression" dxfId="2873" priority="1638">
      <formula>C23=""</formula>
    </cfRule>
  </conditionalFormatting>
  <conditionalFormatting sqref="D22">
    <cfRule type="cellIs" dxfId="2872" priority="1623" operator="greaterThanOrEqual">
      <formula>6</formula>
    </cfRule>
    <cfRule type="cellIs" dxfId="2871" priority="1624" operator="between">
      <formula>0.1</formula>
      <formula>5.9</formula>
    </cfRule>
    <cfRule type="expression" dxfId="2870" priority="1626">
      <formula>D23=""</formula>
    </cfRule>
  </conditionalFormatting>
  <conditionalFormatting sqref="E22:G22">
    <cfRule type="cellIs" dxfId="2869" priority="1611" operator="greaterThanOrEqual">
      <formula>6</formula>
    </cfRule>
    <cfRule type="cellIs" dxfId="2868" priority="1612" operator="between">
      <formula>0.1</formula>
      <formula>5.9</formula>
    </cfRule>
    <cfRule type="expression" dxfId="2867" priority="1614">
      <formula>E23=""</formula>
    </cfRule>
  </conditionalFormatting>
  <conditionalFormatting sqref="C24">
    <cfRule type="cellIs" dxfId="2866" priority="1599" operator="greaterThanOrEqual">
      <formula>6</formula>
    </cfRule>
    <cfRule type="cellIs" dxfId="2865" priority="1600" operator="between">
      <formula>0.1</formula>
      <formula>5.9</formula>
    </cfRule>
    <cfRule type="expression" dxfId="2864" priority="1602">
      <formula>C25=""</formula>
    </cfRule>
  </conditionalFormatting>
  <conditionalFormatting sqref="D24">
    <cfRule type="cellIs" dxfId="2863" priority="1587" operator="greaterThanOrEqual">
      <formula>6</formula>
    </cfRule>
    <cfRule type="cellIs" dxfId="2862" priority="1588" operator="between">
      <formula>0.1</formula>
      <formula>5.9</formula>
    </cfRule>
    <cfRule type="expression" dxfId="2861" priority="1590">
      <formula>D25=""</formula>
    </cfRule>
  </conditionalFormatting>
  <conditionalFormatting sqref="E24:G24">
    <cfRule type="cellIs" dxfId="2860" priority="1575" operator="greaterThanOrEqual">
      <formula>6</formula>
    </cfRule>
    <cfRule type="cellIs" dxfId="2859" priority="1576" operator="between">
      <formula>0.1</formula>
      <formula>5.9</formula>
    </cfRule>
    <cfRule type="expression" dxfId="2858" priority="1578">
      <formula>E25=""</formula>
    </cfRule>
  </conditionalFormatting>
  <conditionalFormatting sqref="J16">
    <cfRule type="cellIs" dxfId="2857" priority="1563" operator="greaterThanOrEqual">
      <formula>6</formula>
    </cfRule>
    <cfRule type="cellIs" dxfId="2856" priority="1564" operator="between">
      <formula>0.1</formula>
      <formula>5.9</formula>
    </cfRule>
    <cfRule type="expression" dxfId="2855" priority="1566">
      <formula>J17=""</formula>
    </cfRule>
  </conditionalFormatting>
  <conditionalFormatting sqref="K16">
    <cfRule type="cellIs" dxfId="2854" priority="1551" operator="greaterThanOrEqual">
      <formula>6</formula>
    </cfRule>
    <cfRule type="cellIs" dxfId="2853" priority="1552" operator="between">
      <formula>0.1</formula>
      <formula>5.9</formula>
    </cfRule>
    <cfRule type="expression" dxfId="2852" priority="1554">
      <formula>K17=""</formula>
    </cfRule>
  </conditionalFormatting>
  <conditionalFormatting sqref="L16:N16">
    <cfRule type="cellIs" dxfId="2851" priority="1539" operator="greaterThanOrEqual">
      <formula>6</formula>
    </cfRule>
    <cfRule type="cellIs" dxfId="2850" priority="1540" operator="between">
      <formula>0.1</formula>
      <formula>5.9</formula>
    </cfRule>
    <cfRule type="expression" dxfId="2849" priority="1542">
      <formula>L17=""</formula>
    </cfRule>
  </conditionalFormatting>
  <conditionalFormatting sqref="J18">
    <cfRule type="cellIs" dxfId="2848" priority="1527" operator="greaterThanOrEqual">
      <formula>6</formula>
    </cfRule>
    <cfRule type="cellIs" dxfId="2847" priority="1528" operator="between">
      <formula>0.1</formula>
      <formula>5.9</formula>
    </cfRule>
    <cfRule type="expression" dxfId="2846" priority="1530">
      <formula>J19=""</formula>
    </cfRule>
  </conditionalFormatting>
  <conditionalFormatting sqref="K18">
    <cfRule type="cellIs" dxfId="2845" priority="1515" operator="greaterThanOrEqual">
      <formula>6</formula>
    </cfRule>
    <cfRule type="cellIs" dxfId="2844" priority="1516" operator="between">
      <formula>0.1</formula>
      <formula>5.9</formula>
    </cfRule>
    <cfRule type="expression" dxfId="2843" priority="1518">
      <formula>K19=""</formula>
    </cfRule>
  </conditionalFormatting>
  <conditionalFormatting sqref="L18:N18">
    <cfRule type="cellIs" dxfId="2842" priority="1503" operator="greaterThanOrEqual">
      <formula>6</formula>
    </cfRule>
    <cfRule type="cellIs" dxfId="2841" priority="1504" operator="between">
      <formula>0.1</formula>
      <formula>5.9</formula>
    </cfRule>
    <cfRule type="expression" dxfId="2840" priority="1506">
      <formula>L19=""</formula>
    </cfRule>
  </conditionalFormatting>
  <conditionalFormatting sqref="J20">
    <cfRule type="cellIs" dxfId="2839" priority="1491" operator="greaterThanOrEqual">
      <formula>6</formula>
    </cfRule>
    <cfRule type="cellIs" dxfId="2838" priority="1492" operator="between">
      <formula>0.1</formula>
      <formula>5.9</formula>
    </cfRule>
    <cfRule type="expression" dxfId="2837" priority="1494">
      <formula>J21=""</formula>
    </cfRule>
  </conditionalFormatting>
  <conditionalFormatting sqref="K20">
    <cfRule type="cellIs" dxfId="2836" priority="1479" operator="greaterThanOrEqual">
      <formula>6</formula>
    </cfRule>
    <cfRule type="cellIs" dxfId="2835" priority="1480" operator="between">
      <formula>0.1</formula>
      <formula>5.9</formula>
    </cfRule>
    <cfRule type="expression" dxfId="2834" priority="1482">
      <formula>K21=""</formula>
    </cfRule>
  </conditionalFormatting>
  <conditionalFormatting sqref="L20:N20">
    <cfRule type="cellIs" dxfId="2833" priority="1467" operator="greaterThanOrEqual">
      <formula>6</formula>
    </cfRule>
    <cfRule type="cellIs" dxfId="2832" priority="1468" operator="between">
      <formula>0.1</formula>
      <formula>5.9</formula>
    </cfRule>
    <cfRule type="expression" dxfId="2831" priority="1470">
      <formula>L21=""</formula>
    </cfRule>
  </conditionalFormatting>
  <conditionalFormatting sqref="J22">
    <cfRule type="cellIs" dxfId="2830" priority="1455" operator="greaterThanOrEqual">
      <formula>6</formula>
    </cfRule>
    <cfRule type="cellIs" dxfId="2829" priority="1456" operator="between">
      <formula>0.1</formula>
      <formula>5.9</formula>
    </cfRule>
    <cfRule type="expression" dxfId="2828" priority="1458">
      <formula>J23=""</formula>
    </cfRule>
  </conditionalFormatting>
  <conditionalFormatting sqref="K22">
    <cfRule type="cellIs" dxfId="2827" priority="1443" operator="greaterThanOrEqual">
      <formula>6</formula>
    </cfRule>
    <cfRule type="cellIs" dxfId="2826" priority="1444" operator="between">
      <formula>0.1</formula>
      <formula>5.9</formula>
    </cfRule>
    <cfRule type="expression" dxfId="2825" priority="1446">
      <formula>K23=""</formula>
    </cfRule>
  </conditionalFormatting>
  <conditionalFormatting sqref="L22:N22">
    <cfRule type="cellIs" dxfId="2824" priority="1431" operator="greaterThanOrEqual">
      <formula>6</formula>
    </cfRule>
    <cfRule type="cellIs" dxfId="2823" priority="1432" operator="between">
      <formula>0.1</formula>
      <formula>5.9</formula>
    </cfRule>
    <cfRule type="expression" dxfId="2822" priority="1434">
      <formula>L23=""</formula>
    </cfRule>
  </conditionalFormatting>
  <conditionalFormatting sqref="J24">
    <cfRule type="cellIs" dxfId="2821" priority="1419" operator="greaterThanOrEqual">
      <formula>6</formula>
    </cfRule>
    <cfRule type="cellIs" dxfId="2820" priority="1420" operator="between">
      <formula>0.1</formula>
      <formula>5.9</formula>
    </cfRule>
    <cfRule type="expression" dxfId="2819" priority="1422">
      <formula>J25=""</formula>
    </cfRule>
  </conditionalFormatting>
  <conditionalFormatting sqref="K24">
    <cfRule type="cellIs" dxfId="2818" priority="1407" operator="greaterThanOrEqual">
      <formula>6</formula>
    </cfRule>
    <cfRule type="cellIs" dxfId="2817" priority="1408" operator="between">
      <formula>0.1</formula>
      <formula>5.9</formula>
    </cfRule>
    <cfRule type="expression" dxfId="2816" priority="1410">
      <formula>K25=""</formula>
    </cfRule>
  </conditionalFormatting>
  <conditionalFormatting sqref="L24:N24">
    <cfRule type="cellIs" dxfId="2815" priority="1395" operator="greaterThanOrEqual">
      <formula>6</formula>
    </cfRule>
    <cfRule type="cellIs" dxfId="2814" priority="1396" operator="between">
      <formula>0.1</formula>
      <formula>5.9</formula>
    </cfRule>
    <cfRule type="expression" dxfId="2813" priority="1398">
      <formula>L25=""</formula>
    </cfRule>
  </conditionalFormatting>
  <conditionalFormatting sqref="Q18">
    <cfRule type="cellIs" dxfId="2812" priority="1347" operator="greaterThanOrEqual">
      <formula>6</formula>
    </cfRule>
    <cfRule type="cellIs" dxfId="2811" priority="1348" operator="between">
      <formula>0.1</formula>
      <formula>5.9</formula>
    </cfRule>
    <cfRule type="expression" dxfId="2810" priority="1350">
      <formula>Q19=""</formula>
    </cfRule>
  </conditionalFormatting>
  <conditionalFormatting sqref="R18">
    <cfRule type="cellIs" dxfId="2809" priority="1335" operator="greaterThanOrEqual">
      <formula>6</formula>
    </cfRule>
    <cfRule type="cellIs" dxfId="2808" priority="1336" operator="between">
      <formula>0.1</formula>
      <formula>5.9</formula>
    </cfRule>
    <cfRule type="expression" dxfId="2807" priority="1338">
      <formula>R19=""</formula>
    </cfRule>
  </conditionalFormatting>
  <conditionalFormatting sqref="S18:U18">
    <cfRule type="cellIs" dxfId="2806" priority="1323" operator="greaterThanOrEqual">
      <formula>6</formula>
    </cfRule>
    <cfRule type="cellIs" dxfId="2805" priority="1324" operator="between">
      <formula>0.1</formula>
      <formula>5.9</formula>
    </cfRule>
    <cfRule type="expression" dxfId="2804" priority="1326">
      <formula>S19=""</formula>
    </cfRule>
  </conditionalFormatting>
  <conditionalFormatting sqref="Q20">
    <cfRule type="cellIs" dxfId="2803" priority="1311" operator="greaterThanOrEqual">
      <formula>6</formula>
    </cfRule>
    <cfRule type="cellIs" dxfId="2802" priority="1312" operator="between">
      <formula>0.1</formula>
      <formula>5.9</formula>
    </cfRule>
    <cfRule type="expression" dxfId="2801" priority="1314">
      <formula>Q21=""</formula>
    </cfRule>
  </conditionalFormatting>
  <conditionalFormatting sqref="R20">
    <cfRule type="cellIs" dxfId="2800" priority="1299" operator="greaterThanOrEqual">
      <formula>6</formula>
    </cfRule>
    <cfRule type="cellIs" dxfId="2799" priority="1300" operator="between">
      <formula>0.1</formula>
      <formula>5.9</formula>
    </cfRule>
    <cfRule type="expression" dxfId="2798" priority="1302">
      <formula>R21=""</formula>
    </cfRule>
  </conditionalFormatting>
  <conditionalFormatting sqref="S20:U20">
    <cfRule type="cellIs" dxfId="2797" priority="1287" operator="greaterThanOrEqual">
      <formula>6</formula>
    </cfRule>
    <cfRule type="cellIs" dxfId="2796" priority="1288" operator="between">
      <formula>0.1</formula>
      <formula>5.9</formula>
    </cfRule>
    <cfRule type="expression" dxfId="2795" priority="1290">
      <formula>S21=""</formula>
    </cfRule>
  </conditionalFormatting>
  <conditionalFormatting sqref="Q22">
    <cfRule type="cellIs" dxfId="2794" priority="1275" operator="greaterThanOrEqual">
      <formula>6</formula>
    </cfRule>
    <cfRule type="cellIs" dxfId="2793" priority="1276" operator="between">
      <formula>0.1</formula>
      <formula>5.9</formula>
    </cfRule>
    <cfRule type="expression" dxfId="2792" priority="1278">
      <formula>Q23=""</formula>
    </cfRule>
  </conditionalFormatting>
  <conditionalFormatting sqref="R22">
    <cfRule type="cellIs" dxfId="2791" priority="1263" operator="greaterThanOrEqual">
      <formula>6</formula>
    </cfRule>
    <cfRule type="cellIs" dxfId="2790" priority="1264" operator="between">
      <formula>0.1</formula>
      <formula>5.9</formula>
    </cfRule>
    <cfRule type="expression" dxfId="2789" priority="1266">
      <formula>R23=""</formula>
    </cfRule>
  </conditionalFormatting>
  <conditionalFormatting sqref="S22:U22">
    <cfRule type="cellIs" dxfId="2788" priority="1251" operator="greaterThanOrEqual">
      <formula>6</formula>
    </cfRule>
    <cfRule type="cellIs" dxfId="2787" priority="1252" operator="between">
      <formula>0.1</formula>
      <formula>5.9</formula>
    </cfRule>
    <cfRule type="expression" dxfId="2786" priority="1254">
      <formula>S23=""</formula>
    </cfRule>
  </conditionalFormatting>
  <conditionalFormatting sqref="Q24">
    <cfRule type="cellIs" dxfId="2785" priority="1239" operator="greaterThanOrEqual">
      <formula>6</formula>
    </cfRule>
    <cfRule type="cellIs" dxfId="2784" priority="1240" operator="between">
      <formula>0.1</formula>
      <formula>5.9</formula>
    </cfRule>
    <cfRule type="expression" dxfId="2783" priority="1242">
      <formula>Q25=""</formula>
    </cfRule>
  </conditionalFormatting>
  <conditionalFormatting sqref="R24">
    <cfRule type="cellIs" dxfId="2782" priority="1227" operator="greaterThanOrEqual">
      <formula>6</formula>
    </cfRule>
    <cfRule type="cellIs" dxfId="2781" priority="1228" operator="between">
      <formula>0.1</formula>
      <formula>5.9</formula>
    </cfRule>
    <cfRule type="expression" dxfId="2780" priority="1230">
      <formula>R25=""</formula>
    </cfRule>
  </conditionalFormatting>
  <conditionalFormatting sqref="S24:U24">
    <cfRule type="cellIs" dxfId="2779" priority="1215" operator="greaterThanOrEqual">
      <formula>6</formula>
    </cfRule>
    <cfRule type="cellIs" dxfId="2778" priority="1216" operator="between">
      <formula>0.1</formula>
      <formula>5.9</formula>
    </cfRule>
    <cfRule type="expression" dxfId="2777" priority="1218">
      <formula>S25=""</formula>
    </cfRule>
  </conditionalFormatting>
  <conditionalFormatting sqref="X16">
    <cfRule type="cellIs" dxfId="2776" priority="1203" operator="greaterThanOrEqual">
      <formula>6</formula>
    </cfRule>
    <cfRule type="cellIs" dxfId="2775" priority="1204" operator="between">
      <formula>0.1</formula>
      <formula>5.9</formula>
    </cfRule>
    <cfRule type="expression" dxfId="2774" priority="1206">
      <formula>X17=""</formula>
    </cfRule>
  </conditionalFormatting>
  <conditionalFormatting sqref="Y16">
    <cfRule type="cellIs" dxfId="2773" priority="1191" operator="greaterThanOrEqual">
      <formula>6</formula>
    </cfRule>
    <cfRule type="cellIs" dxfId="2772" priority="1192" operator="between">
      <formula>0.1</formula>
      <formula>5.9</formula>
    </cfRule>
    <cfRule type="expression" dxfId="2771" priority="1194">
      <formula>Y17=""</formula>
    </cfRule>
  </conditionalFormatting>
  <conditionalFormatting sqref="Z16:AB16">
    <cfRule type="cellIs" dxfId="2770" priority="1179" operator="greaterThanOrEqual">
      <formula>6</formula>
    </cfRule>
    <cfRule type="cellIs" dxfId="2769" priority="1180" operator="between">
      <formula>0.1</formula>
      <formula>5.9</formula>
    </cfRule>
    <cfRule type="expression" dxfId="2768" priority="1182">
      <formula>Z17=""</formula>
    </cfRule>
  </conditionalFormatting>
  <conditionalFormatting sqref="X18">
    <cfRule type="cellIs" dxfId="2767" priority="1167" operator="greaterThanOrEqual">
      <formula>6</formula>
    </cfRule>
    <cfRule type="cellIs" dxfId="2766" priority="1168" operator="between">
      <formula>0.1</formula>
      <formula>5.9</formula>
    </cfRule>
    <cfRule type="expression" dxfId="2765" priority="1170">
      <formula>X19=""</formula>
    </cfRule>
  </conditionalFormatting>
  <conditionalFormatting sqref="Y18">
    <cfRule type="cellIs" dxfId="2764" priority="1155" operator="greaterThanOrEqual">
      <formula>6</formula>
    </cfRule>
    <cfRule type="cellIs" dxfId="2763" priority="1156" operator="between">
      <formula>0.1</formula>
      <formula>5.9</formula>
    </cfRule>
    <cfRule type="expression" dxfId="2762" priority="1158">
      <formula>Y19=""</formula>
    </cfRule>
  </conditionalFormatting>
  <conditionalFormatting sqref="Z18:AB18">
    <cfRule type="cellIs" dxfId="2761" priority="1143" operator="greaterThanOrEqual">
      <formula>6</formula>
    </cfRule>
    <cfRule type="cellIs" dxfId="2760" priority="1144" operator="between">
      <formula>0.1</formula>
      <formula>5.9</formula>
    </cfRule>
    <cfRule type="expression" dxfId="2759" priority="1146">
      <formula>Z19=""</formula>
    </cfRule>
  </conditionalFormatting>
  <conditionalFormatting sqref="X20">
    <cfRule type="cellIs" dxfId="2758" priority="1131" operator="greaterThanOrEqual">
      <formula>6</formula>
    </cfRule>
    <cfRule type="cellIs" dxfId="2757" priority="1132" operator="between">
      <formula>0.1</formula>
      <formula>5.9</formula>
    </cfRule>
    <cfRule type="expression" dxfId="2756" priority="1134">
      <formula>X21=""</formula>
    </cfRule>
  </conditionalFormatting>
  <conditionalFormatting sqref="Y20">
    <cfRule type="cellIs" dxfId="2755" priority="1119" operator="greaterThanOrEqual">
      <formula>6</formula>
    </cfRule>
    <cfRule type="cellIs" dxfId="2754" priority="1120" operator="between">
      <formula>0.1</formula>
      <formula>5.9</formula>
    </cfRule>
    <cfRule type="expression" dxfId="2753" priority="1122">
      <formula>Y21=""</formula>
    </cfRule>
  </conditionalFormatting>
  <conditionalFormatting sqref="Z20:AB20">
    <cfRule type="cellIs" dxfId="2752" priority="1107" operator="greaterThanOrEqual">
      <formula>6</formula>
    </cfRule>
    <cfRule type="cellIs" dxfId="2751" priority="1108" operator="between">
      <formula>0.1</formula>
      <formula>5.9</formula>
    </cfRule>
    <cfRule type="expression" dxfId="2750" priority="1110">
      <formula>Z21=""</formula>
    </cfRule>
  </conditionalFormatting>
  <conditionalFormatting sqref="X22">
    <cfRule type="cellIs" dxfId="2749" priority="1095" operator="greaterThanOrEqual">
      <formula>6</formula>
    </cfRule>
    <cfRule type="cellIs" dxfId="2748" priority="1096" operator="between">
      <formula>0.1</formula>
      <formula>5.9</formula>
    </cfRule>
    <cfRule type="expression" dxfId="2747" priority="1098">
      <formula>X23=""</formula>
    </cfRule>
  </conditionalFormatting>
  <conditionalFormatting sqref="Y22">
    <cfRule type="cellIs" dxfId="2746" priority="1083" operator="greaterThanOrEqual">
      <formula>6</formula>
    </cfRule>
    <cfRule type="cellIs" dxfId="2745" priority="1084" operator="between">
      <formula>0.1</formula>
      <formula>5.9</formula>
    </cfRule>
    <cfRule type="expression" dxfId="2744" priority="1086">
      <formula>Y23=""</formula>
    </cfRule>
  </conditionalFormatting>
  <conditionalFormatting sqref="Z22:AB22">
    <cfRule type="cellIs" dxfId="2743" priority="1071" operator="greaterThanOrEqual">
      <formula>6</formula>
    </cfRule>
    <cfRule type="cellIs" dxfId="2742" priority="1072" operator="between">
      <formula>0.1</formula>
      <formula>5.9</formula>
    </cfRule>
    <cfRule type="expression" dxfId="2741" priority="1074">
      <formula>Z23=""</formula>
    </cfRule>
  </conditionalFormatting>
  <conditionalFormatting sqref="X24">
    <cfRule type="cellIs" dxfId="2740" priority="1059" operator="greaterThanOrEqual">
      <formula>6</formula>
    </cfRule>
    <cfRule type="cellIs" dxfId="2739" priority="1060" operator="between">
      <formula>0.1</formula>
      <formula>5.9</formula>
    </cfRule>
    <cfRule type="expression" dxfId="2738" priority="1062">
      <formula>X25=""</formula>
    </cfRule>
  </conditionalFormatting>
  <conditionalFormatting sqref="Y24">
    <cfRule type="cellIs" dxfId="2737" priority="1047" operator="greaterThanOrEqual">
      <formula>6</formula>
    </cfRule>
    <cfRule type="cellIs" dxfId="2736" priority="1048" operator="between">
      <formula>0.1</formula>
      <formula>5.9</formula>
    </cfRule>
    <cfRule type="expression" dxfId="2735" priority="1050">
      <formula>Y25=""</formula>
    </cfRule>
  </conditionalFormatting>
  <conditionalFormatting sqref="Z24:AB24">
    <cfRule type="cellIs" dxfId="2734" priority="1035" operator="greaterThanOrEqual">
      <formula>6</formula>
    </cfRule>
    <cfRule type="cellIs" dxfId="2733" priority="1036" operator="between">
      <formula>0.1</formula>
      <formula>5.9</formula>
    </cfRule>
    <cfRule type="expression" dxfId="2732" priority="1038">
      <formula>Z25=""</formula>
    </cfRule>
  </conditionalFormatting>
  <conditionalFormatting sqref="C27">
    <cfRule type="cellIs" dxfId="2731" priority="1023" operator="greaterThanOrEqual">
      <formula>6</formula>
    </cfRule>
    <cfRule type="cellIs" dxfId="2730" priority="1024" operator="between">
      <formula>0.1</formula>
      <formula>5.9</formula>
    </cfRule>
    <cfRule type="expression" dxfId="2729" priority="1026">
      <formula>C28=""</formula>
    </cfRule>
  </conditionalFormatting>
  <conditionalFormatting sqref="D27">
    <cfRule type="cellIs" dxfId="2728" priority="1011" operator="greaterThanOrEqual">
      <formula>6</formula>
    </cfRule>
    <cfRule type="cellIs" dxfId="2727" priority="1012" operator="between">
      <formula>0.1</formula>
      <formula>5.9</formula>
    </cfRule>
    <cfRule type="expression" dxfId="2726" priority="1014">
      <formula>D28=""</formula>
    </cfRule>
  </conditionalFormatting>
  <conditionalFormatting sqref="E27:G27">
    <cfRule type="cellIs" dxfId="2725" priority="999" operator="greaterThanOrEqual">
      <formula>6</formula>
    </cfRule>
    <cfRule type="cellIs" dxfId="2724" priority="1000" operator="between">
      <formula>0.1</formula>
      <formula>5.9</formula>
    </cfRule>
    <cfRule type="expression" dxfId="2723" priority="1002">
      <formula>E28=""</formula>
    </cfRule>
  </conditionalFormatting>
  <conditionalFormatting sqref="C29">
    <cfRule type="cellIs" dxfId="2722" priority="987" operator="greaterThanOrEqual">
      <formula>6</formula>
    </cfRule>
    <cfRule type="cellIs" dxfId="2721" priority="988" operator="between">
      <formula>0.1</formula>
      <formula>5.9</formula>
    </cfRule>
    <cfRule type="expression" dxfId="2720" priority="990">
      <formula>C30=""</formula>
    </cfRule>
  </conditionalFormatting>
  <conditionalFormatting sqref="D29">
    <cfRule type="cellIs" dxfId="2719" priority="975" operator="greaterThanOrEqual">
      <formula>6</formula>
    </cfRule>
    <cfRule type="cellIs" dxfId="2718" priority="976" operator="between">
      <formula>0.1</formula>
      <formula>5.9</formula>
    </cfRule>
    <cfRule type="expression" dxfId="2717" priority="978">
      <formula>D30=""</formula>
    </cfRule>
  </conditionalFormatting>
  <conditionalFormatting sqref="E29:G29">
    <cfRule type="cellIs" dxfId="2716" priority="963" operator="greaterThanOrEqual">
      <formula>6</formula>
    </cfRule>
    <cfRule type="cellIs" dxfId="2715" priority="964" operator="between">
      <formula>0.1</formula>
      <formula>5.9</formula>
    </cfRule>
    <cfRule type="expression" dxfId="2714" priority="966">
      <formula>E30=""</formula>
    </cfRule>
  </conditionalFormatting>
  <conditionalFormatting sqref="C31">
    <cfRule type="cellIs" dxfId="2713" priority="951" operator="greaterThanOrEqual">
      <formula>6</formula>
    </cfRule>
    <cfRule type="cellIs" dxfId="2712" priority="952" operator="between">
      <formula>0.1</formula>
      <formula>5.9</formula>
    </cfRule>
    <cfRule type="expression" dxfId="2711" priority="954">
      <formula>C32=""</formula>
    </cfRule>
  </conditionalFormatting>
  <conditionalFormatting sqref="D31">
    <cfRule type="cellIs" dxfId="2710" priority="939" operator="greaterThanOrEqual">
      <formula>6</formula>
    </cfRule>
    <cfRule type="cellIs" dxfId="2709" priority="940" operator="between">
      <formula>0.1</formula>
      <formula>5.9</formula>
    </cfRule>
    <cfRule type="expression" dxfId="2708" priority="942">
      <formula>D32=""</formula>
    </cfRule>
  </conditionalFormatting>
  <conditionalFormatting sqref="E31:G31">
    <cfRule type="cellIs" dxfId="2707" priority="927" operator="greaterThanOrEqual">
      <formula>6</formula>
    </cfRule>
    <cfRule type="cellIs" dxfId="2706" priority="928" operator="between">
      <formula>0.1</formula>
      <formula>5.9</formula>
    </cfRule>
    <cfRule type="expression" dxfId="2705" priority="930">
      <formula>E32=""</formula>
    </cfRule>
  </conditionalFormatting>
  <conditionalFormatting sqref="C33">
    <cfRule type="cellIs" dxfId="2704" priority="915" operator="greaterThanOrEqual">
      <formula>6</formula>
    </cfRule>
    <cfRule type="cellIs" dxfId="2703" priority="916" operator="between">
      <formula>0.1</formula>
      <formula>5.9</formula>
    </cfRule>
    <cfRule type="expression" dxfId="2702" priority="918">
      <formula>C34=""</formula>
    </cfRule>
  </conditionalFormatting>
  <conditionalFormatting sqref="D33">
    <cfRule type="cellIs" dxfId="2701" priority="903" operator="greaterThanOrEqual">
      <formula>6</formula>
    </cfRule>
    <cfRule type="cellIs" dxfId="2700" priority="904" operator="between">
      <formula>0.1</formula>
      <formula>5.9</formula>
    </cfRule>
    <cfRule type="expression" dxfId="2699" priority="906">
      <formula>D34=""</formula>
    </cfRule>
  </conditionalFormatting>
  <conditionalFormatting sqref="E33:G33">
    <cfRule type="cellIs" dxfId="2698" priority="891" operator="greaterThanOrEqual">
      <formula>6</formula>
    </cfRule>
    <cfRule type="cellIs" dxfId="2697" priority="892" operator="between">
      <formula>0.1</formula>
      <formula>5.9</formula>
    </cfRule>
    <cfRule type="expression" dxfId="2696" priority="894">
      <formula>E34=""</formula>
    </cfRule>
  </conditionalFormatting>
  <conditionalFormatting sqref="C35">
    <cfRule type="cellIs" dxfId="2695" priority="879" operator="greaterThanOrEqual">
      <formula>6</formula>
    </cfRule>
    <cfRule type="cellIs" dxfId="2694" priority="880" operator="between">
      <formula>0.1</formula>
      <formula>5.9</formula>
    </cfRule>
    <cfRule type="expression" dxfId="2693" priority="882">
      <formula>C36=""</formula>
    </cfRule>
  </conditionalFormatting>
  <conditionalFormatting sqref="D35">
    <cfRule type="cellIs" dxfId="2692" priority="867" operator="greaterThanOrEqual">
      <formula>6</formula>
    </cfRule>
    <cfRule type="cellIs" dxfId="2691" priority="868" operator="between">
      <formula>0.1</formula>
      <formula>5.9</formula>
    </cfRule>
    <cfRule type="expression" dxfId="2690" priority="870">
      <formula>D36=""</formula>
    </cfRule>
  </conditionalFormatting>
  <conditionalFormatting sqref="E35:G35">
    <cfRule type="cellIs" dxfId="2689" priority="855" operator="greaterThanOrEqual">
      <formula>6</formula>
    </cfRule>
    <cfRule type="cellIs" dxfId="2688" priority="856" operator="between">
      <formula>0.1</formula>
      <formula>5.9</formula>
    </cfRule>
    <cfRule type="expression" dxfId="2687" priority="858">
      <formula>E36=""</formula>
    </cfRule>
  </conditionalFormatting>
  <conditionalFormatting sqref="J27">
    <cfRule type="cellIs" dxfId="2686" priority="843" operator="greaterThanOrEqual">
      <formula>6</formula>
    </cfRule>
    <cfRule type="cellIs" dxfId="2685" priority="844" operator="between">
      <formula>0.1</formula>
      <formula>5.9</formula>
    </cfRule>
    <cfRule type="expression" dxfId="2684" priority="846">
      <formula>J28=""</formula>
    </cfRule>
  </conditionalFormatting>
  <conditionalFormatting sqref="K27">
    <cfRule type="cellIs" dxfId="2683" priority="831" operator="greaterThanOrEqual">
      <formula>6</formula>
    </cfRule>
    <cfRule type="cellIs" dxfId="2682" priority="832" operator="between">
      <formula>0.1</formula>
      <formula>5.9</formula>
    </cfRule>
    <cfRule type="expression" dxfId="2681" priority="834">
      <formula>K28=""</formula>
    </cfRule>
  </conditionalFormatting>
  <conditionalFormatting sqref="L27:N27">
    <cfRule type="cellIs" dxfId="2680" priority="819" operator="greaterThanOrEqual">
      <formula>6</formula>
    </cfRule>
    <cfRule type="cellIs" dxfId="2679" priority="820" operator="between">
      <formula>0.1</formula>
      <formula>5.9</formula>
    </cfRule>
    <cfRule type="expression" dxfId="2678" priority="822">
      <formula>L28=""</formula>
    </cfRule>
  </conditionalFormatting>
  <conditionalFormatting sqref="J29">
    <cfRule type="cellIs" dxfId="2677" priority="807" operator="greaterThanOrEqual">
      <formula>6</formula>
    </cfRule>
    <cfRule type="cellIs" dxfId="2676" priority="808" operator="between">
      <formula>0.1</formula>
      <formula>5.9</formula>
    </cfRule>
    <cfRule type="expression" dxfId="2675" priority="810">
      <formula>J30=""</formula>
    </cfRule>
  </conditionalFormatting>
  <conditionalFormatting sqref="K29">
    <cfRule type="cellIs" dxfId="2674" priority="795" operator="greaterThanOrEqual">
      <formula>6</formula>
    </cfRule>
    <cfRule type="cellIs" dxfId="2673" priority="796" operator="between">
      <formula>0.1</formula>
      <formula>5.9</formula>
    </cfRule>
    <cfRule type="expression" dxfId="2672" priority="798">
      <formula>K30=""</formula>
    </cfRule>
  </conditionalFormatting>
  <conditionalFormatting sqref="L29:N29">
    <cfRule type="cellIs" dxfId="2671" priority="783" operator="greaterThanOrEqual">
      <formula>6</formula>
    </cfRule>
    <cfRule type="cellIs" dxfId="2670" priority="784" operator="between">
      <formula>0.1</formula>
      <formula>5.9</formula>
    </cfRule>
    <cfRule type="expression" dxfId="2669" priority="786">
      <formula>L30=""</formula>
    </cfRule>
  </conditionalFormatting>
  <conditionalFormatting sqref="J31">
    <cfRule type="cellIs" dxfId="2668" priority="771" operator="greaterThanOrEqual">
      <formula>6</formula>
    </cfRule>
    <cfRule type="cellIs" dxfId="2667" priority="772" operator="between">
      <formula>0.1</formula>
      <formula>5.9</formula>
    </cfRule>
    <cfRule type="expression" dxfId="2666" priority="774">
      <formula>J32=""</formula>
    </cfRule>
  </conditionalFormatting>
  <conditionalFormatting sqref="K31">
    <cfRule type="cellIs" dxfId="2665" priority="759" operator="greaterThanOrEqual">
      <formula>6</formula>
    </cfRule>
    <cfRule type="cellIs" dxfId="2664" priority="760" operator="between">
      <formula>0.1</formula>
      <formula>5.9</formula>
    </cfRule>
    <cfRule type="expression" dxfId="2663" priority="762">
      <formula>K32=""</formula>
    </cfRule>
  </conditionalFormatting>
  <conditionalFormatting sqref="L31:N31">
    <cfRule type="cellIs" dxfId="2662" priority="747" operator="greaterThanOrEqual">
      <formula>6</formula>
    </cfRule>
    <cfRule type="cellIs" dxfId="2661" priority="748" operator="between">
      <formula>0.1</formula>
      <formula>5.9</formula>
    </cfRule>
    <cfRule type="expression" dxfId="2660" priority="750">
      <formula>L32=""</formula>
    </cfRule>
  </conditionalFormatting>
  <conditionalFormatting sqref="J33">
    <cfRule type="cellIs" dxfId="2659" priority="735" operator="greaterThanOrEqual">
      <formula>6</formula>
    </cfRule>
    <cfRule type="cellIs" dxfId="2658" priority="736" operator="between">
      <formula>0.1</formula>
      <formula>5.9</formula>
    </cfRule>
    <cfRule type="expression" dxfId="2657" priority="738">
      <formula>J34=""</formula>
    </cfRule>
  </conditionalFormatting>
  <conditionalFormatting sqref="K33">
    <cfRule type="cellIs" dxfId="2656" priority="723" operator="greaterThanOrEqual">
      <formula>6</formula>
    </cfRule>
    <cfRule type="cellIs" dxfId="2655" priority="724" operator="between">
      <formula>0.1</formula>
      <formula>5.9</formula>
    </cfRule>
    <cfRule type="expression" dxfId="2654" priority="726">
      <formula>K34=""</formula>
    </cfRule>
  </conditionalFormatting>
  <conditionalFormatting sqref="L33:N33">
    <cfRule type="cellIs" dxfId="2653" priority="711" operator="greaterThanOrEqual">
      <formula>6</formula>
    </cfRule>
    <cfRule type="cellIs" dxfId="2652" priority="712" operator="between">
      <formula>0.1</formula>
      <formula>5.9</formula>
    </cfRule>
    <cfRule type="expression" dxfId="2651" priority="714">
      <formula>L34=""</formula>
    </cfRule>
  </conditionalFormatting>
  <conditionalFormatting sqref="J35">
    <cfRule type="cellIs" dxfId="2650" priority="699" operator="greaterThanOrEqual">
      <formula>6</formula>
    </cfRule>
    <cfRule type="cellIs" dxfId="2649" priority="700" operator="between">
      <formula>0.1</formula>
      <formula>5.9</formula>
    </cfRule>
    <cfRule type="expression" dxfId="2648" priority="702">
      <formula>J36=""</formula>
    </cfRule>
  </conditionalFormatting>
  <conditionalFormatting sqref="K35">
    <cfRule type="cellIs" dxfId="2647" priority="687" operator="greaterThanOrEqual">
      <formula>6</formula>
    </cfRule>
    <cfRule type="cellIs" dxfId="2646" priority="688" operator="between">
      <formula>0.1</formula>
      <formula>5.9</formula>
    </cfRule>
    <cfRule type="expression" dxfId="2645" priority="690">
      <formula>K36=""</formula>
    </cfRule>
  </conditionalFormatting>
  <conditionalFormatting sqref="L35:N35">
    <cfRule type="cellIs" dxfId="2644" priority="675" operator="greaterThanOrEqual">
      <formula>6</formula>
    </cfRule>
    <cfRule type="cellIs" dxfId="2643" priority="676" operator="between">
      <formula>0.1</formula>
      <formula>5.9</formula>
    </cfRule>
    <cfRule type="expression" dxfId="2642" priority="678">
      <formula>L36=""</formula>
    </cfRule>
  </conditionalFormatting>
  <conditionalFormatting sqref="X27">
    <cfRule type="cellIs" dxfId="2641" priority="483" operator="greaterThanOrEqual">
      <formula>6</formula>
    </cfRule>
    <cfRule type="cellIs" dxfId="2640" priority="484" operator="between">
      <formula>0.1</formula>
      <formula>5.9</formula>
    </cfRule>
    <cfRule type="expression" dxfId="2639" priority="486">
      <formula>X28=""</formula>
    </cfRule>
  </conditionalFormatting>
  <conditionalFormatting sqref="Y27">
    <cfRule type="cellIs" dxfId="2638" priority="471" operator="greaterThanOrEqual">
      <formula>6</formula>
    </cfRule>
    <cfRule type="cellIs" dxfId="2637" priority="472" operator="between">
      <formula>0.1</formula>
      <formula>5.9</formula>
    </cfRule>
    <cfRule type="expression" dxfId="2636" priority="474">
      <formula>Y28=""</formula>
    </cfRule>
  </conditionalFormatting>
  <conditionalFormatting sqref="Z27:AB27">
    <cfRule type="cellIs" dxfId="2635" priority="459" operator="greaterThanOrEqual">
      <formula>6</formula>
    </cfRule>
    <cfRule type="cellIs" dxfId="2634" priority="460" operator="between">
      <formula>0.1</formula>
      <formula>5.9</formula>
    </cfRule>
    <cfRule type="expression" dxfId="2633" priority="462">
      <formula>Z28=""</formula>
    </cfRule>
  </conditionalFormatting>
  <conditionalFormatting sqref="X29">
    <cfRule type="cellIs" dxfId="2632" priority="447" operator="greaterThanOrEqual">
      <formula>6</formula>
    </cfRule>
    <cfRule type="cellIs" dxfId="2631" priority="448" operator="between">
      <formula>0.1</formula>
      <formula>5.9</formula>
    </cfRule>
    <cfRule type="expression" dxfId="2630" priority="450">
      <formula>X30=""</formula>
    </cfRule>
  </conditionalFormatting>
  <conditionalFormatting sqref="Y29">
    <cfRule type="cellIs" dxfId="2629" priority="435" operator="greaterThanOrEqual">
      <formula>6</formula>
    </cfRule>
    <cfRule type="cellIs" dxfId="2628" priority="436" operator="between">
      <formula>0.1</formula>
      <formula>5.9</formula>
    </cfRule>
    <cfRule type="expression" dxfId="2627" priority="438">
      <formula>Y30=""</formula>
    </cfRule>
  </conditionalFormatting>
  <conditionalFormatting sqref="Z29:AB29">
    <cfRule type="cellIs" dxfId="2626" priority="423" operator="greaterThanOrEqual">
      <formula>6</formula>
    </cfRule>
    <cfRule type="cellIs" dxfId="2625" priority="424" operator="between">
      <formula>0.1</formula>
      <formula>5.9</formula>
    </cfRule>
    <cfRule type="expression" dxfId="2624" priority="426">
      <formula>Z30=""</formula>
    </cfRule>
  </conditionalFormatting>
  <conditionalFormatting sqref="X31">
    <cfRule type="cellIs" dxfId="2623" priority="411" operator="greaterThanOrEqual">
      <formula>6</formula>
    </cfRule>
    <cfRule type="cellIs" dxfId="2622" priority="412" operator="between">
      <formula>0.1</formula>
      <formula>5.9</formula>
    </cfRule>
    <cfRule type="expression" dxfId="2621" priority="414">
      <formula>X32=""</formula>
    </cfRule>
  </conditionalFormatting>
  <conditionalFormatting sqref="Y31">
    <cfRule type="cellIs" dxfId="2620" priority="399" operator="greaterThanOrEqual">
      <formula>6</formula>
    </cfRule>
    <cfRule type="cellIs" dxfId="2619" priority="400" operator="between">
      <formula>0.1</formula>
      <formula>5.9</formula>
    </cfRule>
    <cfRule type="expression" dxfId="2618" priority="402">
      <formula>Y32=""</formula>
    </cfRule>
  </conditionalFormatting>
  <conditionalFormatting sqref="Z31:AB31">
    <cfRule type="cellIs" dxfId="2617" priority="387" operator="greaterThanOrEqual">
      <formula>6</formula>
    </cfRule>
    <cfRule type="cellIs" dxfId="2616" priority="388" operator="between">
      <formula>0.1</formula>
      <formula>5.9</formula>
    </cfRule>
    <cfRule type="expression" dxfId="2615" priority="390">
      <formula>Z32=""</formula>
    </cfRule>
  </conditionalFormatting>
  <conditionalFormatting sqref="X33">
    <cfRule type="cellIs" dxfId="2614" priority="375" operator="greaterThanOrEqual">
      <formula>6</formula>
    </cfRule>
    <cfRule type="cellIs" dxfId="2613" priority="376" operator="between">
      <formula>0.1</formula>
      <formula>5.9</formula>
    </cfRule>
    <cfRule type="expression" dxfId="2612" priority="378">
      <formula>X34=""</formula>
    </cfRule>
  </conditionalFormatting>
  <conditionalFormatting sqref="Y33">
    <cfRule type="cellIs" dxfId="2611" priority="363" operator="greaterThanOrEqual">
      <formula>6</formula>
    </cfRule>
    <cfRule type="cellIs" dxfId="2610" priority="364" operator="between">
      <formula>0.1</formula>
      <formula>5.9</formula>
    </cfRule>
    <cfRule type="expression" dxfId="2609" priority="366">
      <formula>Y34=""</formula>
    </cfRule>
  </conditionalFormatting>
  <conditionalFormatting sqref="Z33:AB33">
    <cfRule type="cellIs" dxfId="2608" priority="351" operator="greaterThanOrEqual">
      <formula>6</formula>
    </cfRule>
    <cfRule type="cellIs" dxfId="2607" priority="352" operator="between">
      <formula>0.1</formula>
      <formula>5.9</formula>
    </cfRule>
    <cfRule type="expression" dxfId="2606" priority="354">
      <formula>Z34=""</formula>
    </cfRule>
  </conditionalFormatting>
  <conditionalFormatting sqref="X35">
    <cfRule type="cellIs" dxfId="2605" priority="339" operator="greaterThanOrEqual">
      <formula>6</formula>
    </cfRule>
    <cfRule type="cellIs" dxfId="2604" priority="340" operator="between">
      <formula>0.1</formula>
      <formula>5.9</formula>
    </cfRule>
    <cfRule type="expression" dxfId="2603" priority="342">
      <formula>X36=""</formula>
    </cfRule>
  </conditionalFormatting>
  <conditionalFormatting sqref="Y35">
    <cfRule type="cellIs" dxfId="2602" priority="327" operator="greaterThanOrEqual">
      <formula>6</formula>
    </cfRule>
    <cfRule type="cellIs" dxfId="2601" priority="328" operator="between">
      <formula>0.1</formula>
      <formula>5.9</formula>
    </cfRule>
    <cfRule type="expression" dxfId="2600" priority="330">
      <formula>Y36=""</formula>
    </cfRule>
  </conditionalFormatting>
  <conditionalFormatting sqref="Z35:AB35">
    <cfRule type="cellIs" dxfId="2599" priority="315" operator="greaterThanOrEqual">
      <formula>6</formula>
    </cfRule>
    <cfRule type="cellIs" dxfId="2598" priority="316" operator="between">
      <formula>0.1</formula>
      <formula>5.9</formula>
    </cfRule>
    <cfRule type="expression" dxfId="2597" priority="318">
      <formula>Z36=""</formula>
    </cfRule>
  </conditionalFormatting>
  <conditionalFormatting sqref="Q16">
    <cfRule type="cellIs" dxfId="2596" priority="298" operator="greaterThanOrEqual">
      <formula>6</formula>
    </cfRule>
    <cfRule type="cellIs" dxfId="2595" priority="299" operator="between">
      <formula>0.1</formula>
      <formula>5.9</formula>
    </cfRule>
    <cfRule type="expression" dxfId="2594" priority="301">
      <formula>Q17=""</formula>
    </cfRule>
  </conditionalFormatting>
  <conditionalFormatting sqref="R16">
    <cfRule type="cellIs" dxfId="2593" priority="286" operator="greaterThanOrEqual">
      <formula>6</formula>
    </cfRule>
    <cfRule type="cellIs" dxfId="2592" priority="287" operator="between">
      <formula>0.1</formula>
      <formula>5.9</formula>
    </cfRule>
    <cfRule type="expression" dxfId="2591" priority="289">
      <formula>R17=""</formula>
    </cfRule>
  </conditionalFormatting>
  <conditionalFormatting sqref="S16:U16">
    <cfRule type="cellIs" dxfId="2590" priority="274" operator="greaterThanOrEqual">
      <formula>6</formula>
    </cfRule>
    <cfRule type="cellIs" dxfId="2589" priority="275" operator="between">
      <formula>0.1</formula>
      <formula>5.9</formula>
    </cfRule>
    <cfRule type="expression" dxfId="2588" priority="277">
      <formula>S17=""</formula>
    </cfRule>
  </conditionalFormatting>
  <conditionalFormatting sqref="Q27">
    <cfRule type="cellIs" dxfId="2587" priority="101" operator="greaterThanOrEqual">
      <formula>6</formula>
    </cfRule>
    <cfRule type="cellIs" dxfId="2586" priority="102" operator="between">
      <formula>0.1</formula>
      <formula>5.9</formula>
    </cfRule>
    <cfRule type="expression" dxfId="2585" priority="104">
      <formula>Q28=""</formula>
    </cfRule>
  </conditionalFormatting>
  <conditionalFormatting sqref="R27">
    <cfRule type="cellIs" dxfId="2584" priority="94" operator="greaterThanOrEqual">
      <formula>6</formula>
    </cfRule>
    <cfRule type="cellIs" dxfId="2583" priority="95" operator="between">
      <formula>0.1</formula>
      <formula>5.9</formula>
    </cfRule>
    <cfRule type="expression" dxfId="2582" priority="97">
      <formula>R28=""</formula>
    </cfRule>
  </conditionalFormatting>
  <conditionalFormatting sqref="S27:U27">
    <cfRule type="cellIs" dxfId="2581" priority="87" operator="greaterThanOrEqual">
      <formula>6</formula>
    </cfRule>
    <cfRule type="cellIs" dxfId="2580" priority="88" operator="between">
      <formula>0.1</formula>
      <formula>5.9</formula>
    </cfRule>
    <cfRule type="expression" dxfId="2579" priority="90">
      <formula>S28=""</formula>
    </cfRule>
  </conditionalFormatting>
  <conditionalFormatting sqref="Q29">
    <cfRule type="cellIs" dxfId="2578" priority="80" operator="greaterThanOrEqual">
      <formula>6</formula>
    </cfRule>
    <cfRule type="cellIs" dxfId="2577" priority="81" operator="between">
      <formula>0.1</formula>
      <formula>5.9</formula>
    </cfRule>
    <cfRule type="expression" dxfId="2576" priority="83">
      <formula>Q30=""</formula>
    </cfRule>
  </conditionalFormatting>
  <conditionalFormatting sqref="R29">
    <cfRule type="cellIs" dxfId="2575" priority="73" operator="greaterThanOrEqual">
      <formula>6</formula>
    </cfRule>
    <cfRule type="cellIs" dxfId="2574" priority="74" operator="between">
      <formula>0.1</formula>
      <formula>5.9</formula>
    </cfRule>
    <cfRule type="expression" dxfId="2573" priority="76">
      <formula>R30=""</formula>
    </cfRule>
  </conditionalFormatting>
  <conditionalFormatting sqref="S29:U29">
    <cfRule type="cellIs" dxfId="2572" priority="66" operator="greaterThanOrEqual">
      <formula>6</formula>
    </cfRule>
    <cfRule type="cellIs" dxfId="2571" priority="67" operator="between">
      <formula>0.1</formula>
      <formula>5.9</formula>
    </cfRule>
    <cfRule type="expression" dxfId="2570" priority="69">
      <formula>S30=""</formula>
    </cfRule>
  </conditionalFormatting>
  <conditionalFormatting sqref="Q31">
    <cfRule type="cellIs" dxfId="2569" priority="59" operator="greaterThanOrEqual">
      <formula>6</formula>
    </cfRule>
    <cfRule type="cellIs" dxfId="2568" priority="60" operator="between">
      <formula>0.1</formula>
      <formula>5.9</formula>
    </cfRule>
    <cfRule type="expression" dxfId="2567" priority="62">
      <formula>Q32=""</formula>
    </cfRule>
  </conditionalFormatting>
  <conditionalFormatting sqref="R31">
    <cfRule type="cellIs" dxfId="2566" priority="52" operator="greaterThanOrEqual">
      <formula>6</formula>
    </cfRule>
    <cfRule type="cellIs" dxfId="2565" priority="53" operator="between">
      <formula>0.1</formula>
      <formula>5.9</formula>
    </cfRule>
    <cfRule type="expression" dxfId="2564" priority="55">
      <formula>R32=""</formula>
    </cfRule>
  </conditionalFormatting>
  <conditionalFormatting sqref="S31:U31">
    <cfRule type="cellIs" dxfId="2563" priority="45" operator="greaterThanOrEqual">
      <formula>6</formula>
    </cfRule>
    <cfRule type="cellIs" dxfId="2562" priority="46" operator="between">
      <formula>0.1</formula>
      <formula>5.9</formula>
    </cfRule>
    <cfRule type="expression" dxfId="2561" priority="48">
      <formula>S32=""</formula>
    </cfRule>
  </conditionalFormatting>
  <conditionalFormatting sqref="Q33">
    <cfRule type="cellIs" dxfId="2560" priority="38" operator="greaterThanOrEqual">
      <formula>6</formula>
    </cfRule>
    <cfRule type="cellIs" dxfId="2559" priority="39" operator="between">
      <formula>0.1</formula>
      <formula>5.9</formula>
    </cfRule>
    <cfRule type="expression" dxfId="2558" priority="41">
      <formula>Q34=""</formula>
    </cfRule>
  </conditionalFormatting>
  <conditionalFormatting sqref="R33">
    <cfRule type="cellIs" dxfId="2557" priority="31" operator="greaterThanOrEqual">
      <formula>6</formula>
    </cfRule>
    <cfRule type="cellIs" dxfId="2556" priority="32" operator="between">
      <formula>0.1</formula>
      <formula>5.9</formula>
    </cfRule>
    <cfRule type="expression" dxfId="2555" priority="34">
      <formula>R34=""</formula>
    </cfRule>
  </conditionalFormatting>
  <conditionalFormatting sqref="S33:U33">
    <cfRule type="cellIs" dxfId="2554" priority="24" operator="greaterThanOrEqual">
      <formula>6</formula>
    </cfRule>
    <cfRule type="cellIs" dxfId="2553" priority="25" operator="between">
      <formula>0.1</formula>
      <formula>5.9</formula>
    </cfRule>
    <cfRule type="expression" dxfId="2552" priority="27">
      <formula>S34=""</formula>
    </cfRule>
  </conditionalFormatting>
  <conditionalFormatting sqref="Q35">
    <cfRule type="cellIs" dxfId="2551" priority="17" operator="greaterThanOrEqual">
      <formula>6</formula>
    </cfRule>
    <cfRule type="cellIs" dxfId="2550" priority="18" operator="between">
      <formula>0.1</formula>
      <formula>5.9</formula>
    </cfRule>
    <cfRule type="expression" dxfId="2549" priority="20">
      <formula>Q36=""</formula>
    </cfRule>
  </conditionalFormatting>
  <conditionalFormatting sqref="R35">
    <cfRule type="cellIs" dxfId="2548" priority="10" operator="greaterThanOrEqual">
      <formula>6</formula>
    </cfRule>
    <cfRule type="cellIs" dxfId="2547" priority="11" operator="between">
      <formula>0.1</formula>
      <formula>5.9</formula>
    </cfRule>
    <cfRule type="expression" dxfId="2546" priority="13">
      <formula>R36=""</formula>
    </cfRule>
  </conditionalFormatting>
  <conditionalFormatting sqref="S35:U35">
    <cfRule type="cellIs" dxfId="2545" priority="3" operator="greaterThanOrEqual">
      <formula>6</formula>
    </cfRule>
    <cfRule type="cellIs" dxfId="2544" priority="4" operator="between">
      <formula>0.1</formula>
      <formula>5.9</formula>
    </cfRule>
    <cfRule type="expression" dxfId="2543" priority="6">
      <formula>S36=""</formula>
    </cfRule>
  </conditionalFormatting>
  <dataValidations xWindow="234" yWindow="491" count="7">
    <dataValidation type="decimal" allowBlank="1" showInputMessage="1" showErrorMessage="1" sqref="M41" xr:uid="{00000000-0002-0000-0100-000000000000}">
      <formula1>0</formula1>
      <formula2>8</formula2>
    </dataValidation>
    <dataValidation allowBlank="1" showInputMessage="1" showErrorMessage="1" promptTitle="Print to Sign" prompt="Double check that Total Contract Days is in BLACK text!  Please print out calendar by clicking the button to the right.  " sqref="M48:Y49" xr:uid="{00000000-0002-0000-0100-000001000000}"/>
    <dataValidation allowBlank="1" showInputMessage="1" showErrorMessage="1" promptTitle="FTE" prompt="Usually 0.5 FTE for job shares." sqref="L2" xr:uid="{00000000-0002-0000-0100-000002000000}"/>
    <dataValidation type="decimal" allowBlank="1" showErrorMessage="1" promptTitle="Entering" prompt="Enter how many hours per day Teacher A will work.  (YRE enter 8 as full day)" sqref="C13:G13 C7:G7 D5:G5 C11:G11 C9:E9 G9" xr:uid="{00000000-0002-0000-0100-000003000000}">
      <formula1>0</formula1>
      <formula2>8</formula2>
    </dataValidation>
    <dataValidation type="decimal" allowBlank="1" showInputMessage="1" showErrorMessage="1" promptTitle="Entering" prompt="Enter how many hours per day Teacher A will work.  (YRE locations enter 8 as full day)" sqref="C5" xr:uid="{00000000-0002-0000-0100-000004000000}">
      <formula1>0</formula1>
      <formula2>8</formula2>
    </dataValidation>
    <dataValidation type="decimal" allowBlank="1" showErrorMessage="1" promptTitle="Entering" prompt="Enter how many hours Teacher A will work.  (YRE enter 8 hours as full day.)" sqref="E8 C16:G16 C18:G18 C20:G20 C22:G22 C24:G24 J5:N5 J7:N7 J9:N9 J11:N11 J13:N13 J16:N16 J18:N18 J20:N20 J22:N22 J24:N24 Q5:U5 Q7:U7 Q9:U9 Q11:U11 Q13:U13 Q16:U16 Q18:U18 Q20:U20 Q22:U22 Q24:U24 X5:AB5 X7:AB7 X9:AB9 X11:AB11 X13:AB13 X16:AB16 X18:AB18 X20:AB20 X22:AB22 X24:AB24 C27:G27 C29:G29 C31:G31 C33:G33 C35:G35 J27:N27 J29:N29 J31:N31 J33:N33 J35:N35 X33:AB33 X35:AB35 X38:AB38 X40:AB40 Q35:U35 X27:AB27 X29:AB29 X31:AB31 Q27:U27 Q29:U29 Q31:U31 Q33:U33" xr:uid="{00000000-0002-0000-0100-000005000000}">
      <formula1>0</formula1>
      <formula2>8</formula2>
    </dataValidation>
    <dataValidation type="decimal" allowBlank="1" showErrorMessage="1" promptTitle="Entering" sqref="F9" xr:uid="{00000000-0002-0000-0100-000006000000}">
      <formula1>0</formula1>
      <formula2>8</formula2>
    </dataValidation>
  </dataValidations>
  <pageMargins left="0.25" right="0.25" top="0.63638888888888889" bottom="0.75" header="0.3" footer="0.3"/>
  <pageSetup scale="59" orientation="landscape" r:id="rId1"/>
  <headerFooter>
    <oddHeader>&amp;L&amp;G&amp;C&amp;"-,Bold"&amp;16&amp;K04+000Job Share Calendar &amp;K01+000
&amp;R&amp;"-,Bold"&amp;14Teacher A</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3937" id="{8A7FE631-60AA-4000-9563-F511694A25DA}">
            <xm:f>AND(VLOOKUP(C6,Calendars!$O$1:$U$398,MATCH($X$1,Calendars!$O$1:$U$1,0),FALSE)="Non Contract",$C$5&gt;0)</xm:f>
            <x14:dxf>
              <fill>
                <patternFill patternType="solid">
                  <fgColor theme="4" tint="0.79998168889431442"/>
                  <bgColor theme="8" tint="0.79995117038483843"/>
                </patternFill>
              </fill>
            </x14:dxf>
          </x14:cfRule>
          <xm:sqref>C5</xm:sqref>
        </x14:conditionalFormatting>
        <x14:conditionalFormatting xmlns:xm="http://schemas.microsoft.com/office/excel/2006/main">
          <x14:cfRule type="expression" priority="31030" id="{A72F2028-E214-4C28-8AFA-6068619D5D79}">
            <xm:f>AND(VLOOKUP(C6,Calendars!$O$1:$U$398,MATCH($X$1,Calendars!$O$1:$U$1,0),FALSE)="",C5=0)</xm:f>
            <x14:dxf>
              <fill>
                <patternFill>
                  <bgColor theme="7" tint="0.79998168889431442"/>
                </patternFill>
              </fill>
            </x14:dxf>
          </x14:cfRule>
          <xm:sqref>C5</xm:sqref>
        </x14:conditionalFormatting>
        <x14:conditionalFormatting xmlns:xm="http://schemas.microsoft.com/office/excel/2006/main">
          <x14:cfRule type="containsText" priority="30953" operator="containsText" id="{F55ABCA1-8CD4-423F-B8CE-E0DAD5410622}">
            <xm:f>NOT(ISERROR(SEARCH("û",AB43)))</xm:f>
            <xm:f>"û"</xm:f>
            <x14:dxf>
              <font>
                <color rgb="FFFF0000"/>
              </font>
            </x14:dxf>
          </x14:cfRule>
          <x14:cfRule type="containsText" priority="30954" operator="containsText" id="{A0EE7C14-1048-476B-82BC-DAE12F1B3629}">
            <xm:f>NOT(ISERROR(SEARCH("ü",AB43)))</xm:f>
            <xm:f>"ü"</xm:f>
            <x14:dxf>
              <font>
                <color theme="9" tint="-0.24994659260841701"/>
              </font>
            </x14:dxf>
          </x14:cfRule>
          <xm:sqref>AB43</xm:sqref>
        </x14:conditionalFormatting>
        <x14:conditionalFormatting xmlns:xm="http://schemas.microsoft.com/office/excel/2006/main">
          <x14:cfRule type="expression" priority="2456" id="{CC7C8B33-5EAE-40DF-B2DF-DBB0C319134D}">
            <xm:f>VLOOKUP(C6,Calendars!$O$1:$U$398,MATCH($X$1,Calendars!$O$1:$U$1,0),FALSE)="Non Contract"</xm:f>
            <x14:dxf>
              <fill>
                <patternFill patternType="lightDown"/>
              </fill>
              <border>
                <bottom/>
              </border>
            </x14:dxf>
          </x14:cfRule>
          <x14:cfRule type="expression" priority="11598" id="{7B133E74-FB42-4F61-86EE-54D7563AA06C}">
            <xm:f>VLOOKUP(C6,Calendars!$O$1:$U$398,MATCH($X$1,Calendars!$O$1:$U$1,0),FALSE)="Holiday"</xm:f>
            <x14:dxf>
              <fill>
                <patternFill>
                  <bgColor rgb="FFFF99FF"/>
                </patternFill>
              </fill>
              <border>
                <bottom/>
              </border>
            </x14:dxf>
          </x14:cfRule>
          <xm:sqref>C5</xm:sqref>
        </x14:conditionalFormatting>
        <x14:conditionalFormatting xmlns:xm="http://schemas.microsoft.com/office/excel/2006/main">
          <x14:cfRule type="expression" priority="2445" id="{1DFB7AC9-BE91-4534-9FB9-98E5A6E8D360}">
            <xm:f>AND(VLOOKUP(D6,Calendars!$O$1:$U$398,MATCH($X$1,Calendars!$O$1:$U$1,0),FALSE)="Non Contract",$C$5&gt;0)</xm:f>
            <x14:dxf>
              <fill>
                <patternFill patternType="solid">
                  <fgColor theme="4" tint="0.79998168889431442"/>
                  <bgColor theme="8" tint="0.79995117038483843"/>
                </patternFill>
              </fill>
            </x14:dxf>
          </x14:cfRule>
          <xm:sqref>D5</xm:sqref>
        </x14:conditionalFormatting>
        <x14:conditionalFormatting xmlns:xm="http://schemas.microsoft.com/office/excel/2006/main">
          <x14:cfRule type="expression" priority="2455" id="{E204E9A4-995D-4DAA-ACBB-E0DABC66F61B}">
            <xm:f>AND(VLOOKUP(D6,Calendars!$O$1:$U$398,MATCH($X$1,Calendars!$O$1:$U$1,0),FALSE)="",D5=0)</xm:f>
            <x14:dxf>
              <fill>
                <patternFill>
                  <bgColor theme="7" tint="0.79998168889431442"/>
                </patternFill>
              </fill>
            </x14:dxf>
          </x14:cfRule>
          <xm:sqref>D5</xm:sqref>
        </x14:conditionalFormatting>
        <x14:conditionalFormatting xmlns:xm="http://schemas.microsoft.com/office/excel/2006/main">
          <x14:cfRule type="expression" priority="2444" id="{3DD670B6-70EB-4ED6-B433-F9B04E590E87}">
            <xm:f>VLOOKUP(D6,Calendars!$O$1:$U$398,MATCH($X$1,Calendars!$O$1:$U$1,0),FALSE)="Non Contract"</xm:f>
            <x14:dxf>
              <fill>
                <patternFill patternType="lightDown"/>
              </fill>
              <border>
                <bottom/>
              </border>
            </x14:dxf>
          </x14:cfRule>
          <x14:cfRule type="expression" priority="2453" id="{9AD817D9-E245-43BB-9A4A-AE73776AFA00}">
            <xm:f>VLOOKUP(D6,Calendars!$O$1:$U$398,MATCH($X$1,Calendars!$O$1:$U$1,0),FALSE)="Holiday"</xm:f>
            <x14:dxf>
              <fill>
                <patternFill>
                  <bgColor rgb="FFFF99FF"/>
                </patternFill>
              </fill>
              <border>
                <bottom/>
              </border>
            </x14:dxf>
          </x14:cfRule>
          <xm:sqref>D5</xm:sqref>
        </x14:conditionalFormatting>
        <x14:conditionalFormatting xmlns:xm="http://schemas.microsoft.com/office/excel/2006/main">
          <x14:cfRule type="expression" priority="2433" id="{313AA1E7-E531-4800-85E6-CB899BBD2043}">
            <xm:f>AND(VLOOKUP(E6,Calendars!$O$1:$U$398,MATCH($X$1,Calendars!$O$1:$U$1,0),FALSE)="Non Contract",$C$5&gt;0)</xm:f>
            <x14:dxf>
              <fill>
                <patternFill patternType="solid">
                  <fgColor theme="4" tint="0.79998168889431442"/>
                  <bgColor theme="8" tint="0.79995117038483843"/>
                </patternFill>
              </fill>
            </x14:dxf>
          </x14:cfRule>
          <xm:sqref>E5:G5</xm:sqref>
        </x14:conditionalFormatting>
        <x14:conditionalFormatting xmlns:xm="http://schemas.microsoft.com/office/excel/2006/main">
          <x14:cfRule type="expression" priority="2443" id="{5D58E4EE-23C2-4AFB-A5CD-D2DF010E8F1A}">
            <xm:f>AND(VLOOKUP(E6,Calendars!$O$1:$U$398,MATCH($X$1,Calendars!$O$1:$U$1,0),FALSE)="",E5=0)</xm:f>
            <x14:dxf>
              <fill>
                <patternFill>
                  <bgColor theme="7" tint="0.79998168889431442"/>
                </patternFill>
              </fill>
            </x14:dxf>
          </x14:cfRule>
          <xm:sqref>E5:G5</xm:sqref>
        </x14:conditionalFormatting>
        <x14:conditionalFormatting xmlns:xm="http://schemas.microsoft.com/office/excel/2006/main">
          <x14:cfRule type="expression" priority="2432" id="{2B10FF78-4906-4096-A9B9-DC0CA9DA9035}">
            <xm:f>VLOOKUP(E6,Calendars!$O$1:$U$398,MATCH($X$1,Calendars!$O$1:$U$1,0),FALSE)="Non Contract"</xm:f>
            <x14:dxf>
              <fill>
                <patternFill patternType="lightDown"/>
              </fill>
              <border>
                <bottom/>
              </border>
            </x14:dxf>
          </x14:cfRule>
          <x14:cfRule type="expression" priority="2441" id="{0EF64192-A3A6-46BD-BFF4-F05F0279EBA5}">
            <xm:f>VLOOKUP(E6,Calendars!$O$1:$U$398,MATCH($X$1,Calendars!$O$1:$U$1,0),FALSE)="Holiday"</xm:f>
            <x14:dxf>
              <fill>
                <patternFill>
                  <bgColor rgb="FFFF99FF"/>
                </patternFill>
              </fill>
              <border>
                <bottom/>
              </border>
            </x14:dxf>
          </x14:cfRule>
          <xm:sqref>E5:G5</xm:sqref>
        </x14:conditionalFormatting>
        <x14:conditionalFormatting xmlns:xm="http://schemas.microsoft.com/office/excel/2006/main">
          <x14:cfRule type="expression" priority="2421" id="{25FEA479-970F-4190-B479-528F5623E7D5}">
            <xm:f>AND(VLOOKUP(C8,Calendars!$O$1:$U$398,MATCH($X$1,Calendars!$O$1:$U$1,0),FALSE)="Non Contract",$C$5&gt;0)</xm:f>
            <x14:dxf>
              <fill>
                <patternFill patternType="solid">
                  <fgColor theme="4" tint="0.79998168889431442"/>
                  <bgColor theme="8" tint="0.79995117038483843"/>
                </patternFill>
              </fill>
            </x14:dxf>
          </x14:cfRule>
          <xm:sqref>C7</xm:sqref>
        </x14:conditionalFormatting>
        <x14:conditionalFormatting xmlns:xm="http://schemas.microsoft.com/office/excel/2006/main">
          <x14:cfRule type="expression" priority="2431" id="{D0E60B0E-6612-41AF-99F8-7E5AA2B107D9}">
            <xm:f>AND(VLOOKUP(C8,Calendars!$O$1:$U$398,MATCH($X$1,Calendars!$O$1:$U$1,0),FALSE)="",C7=0)</xm:f>
            <x14:dxf>
              <fill>
                <patternFill>
                  <bgColor theme="7" tint="0.79998168889431442"/>
                </patternFill>
              </fill>
            </x14:dxf>
          </x14:cfRule>
          <xm:sqref>C7</xm:sqref>
        </x14:conditionalFormatting>
        <x14:conditionalFormatting xmlns:xm="http://schemas.microsoft.com/office/excel/2006/main">
          <x14:cfRule type="expression" priority="2420" id="{34BB0163-A003-4D53-A60C-A08EF31AB39D}">
            <xm:f>VLOOKUP(C8,Calendars!$O$1:$U$398,MATCH($X$1,Calendars!$O$1:$U$1,0),FALSE)="Non Contract"</xm:f>
            <x14:dxf>
              <fill>
                <patternFill patternType="lightDown"/>
              </fill>
              <border>
                <bottom/>
              </border>
            </x14:dxf>
          </x14:cfRule>
          <x14:cfRule type="expression" priority="2429" id="{4790F98C-DB5A-4A84-B949-DC622FFFFC7F}">
            <xm:f>VLOOKUP(C8,Calendars!$O$1:$U$398,MATCH($X$1,Calendars!$O$1:$U$1,0),FALSE)="Holiday"</xm:f>
            <x14:dxf>
              <fill>
                <patternFill>
                  <bgColor rgb="FFFF99FF"/>
                </patternFill>
              </fill>
              <border>
                <bottom/>
              </border>
            </x14:dxf>
          </x14:cfRule>
          <xm:sqref>C7</xm:sqref>
        </x14:conditionalFormatting>
        <x14:conditionalFormatting xmlns:xm="http://schemas.microsoft.com/office/excel/2006/main">
          <x14:cfRule type="expression" priority="2409" id="{E2298955-E879-45A5-848D-DCD16DF05704}">
            <xm:f>AND(VLOOKUP(D8,Calendars!$O$1:$U$398,MATCH($X$1,Calendars!$O$1:$U$1,0),FALSE)="Non Contract",$C$5&gt;0)</xm:f>
            <x14:dxf>
              <fill>
                <patternFill patternType="solid">
                  <fgColor theme="4" tint="0.79998168889431442"/>
                  <bgColor theme="8" tint="0.79995117038483843"/>
                </patternFill>
              </fill>
            </x14:dxf>
          </x14:cfRule>
          <xm:sqref>D7</xm:sqref>
        </x14:conditionalFormatting>
        <x14:conditionalFormatting xmlns:xm="http://schemas.microsoft.com/office/excel/2006/main">
          <x14:cfRule type="expression" priority="2419" id="{5C7BAE8C-8E40-4430-9B78-E94761BA294A}">
            <xm:f>AND(VLOOKUP(D8,Calendars!$O$1:$U$398,MATCH($X$1,Calendars!$O$1:$U$1,0),FALSE)="",D7=0)</xm:f>
            <x14:dxf>
              <fill>
                <patternFill>
                  <bgColor theme="7" tint="0.79998168889431442"/>
                </patternFill>
              </fill>
            </x14:dxf>
          </x14:cfRule>
          <xm:sqref>D7</xm:sqref>
        </x14:conditionalFormatting>
        <x14:conditionalFormatting xmlns:xm="http://schemas.microsoft.com/office/excel/2006/main">
          <x14:cfRule type="expression" priority="2408" id="{1D6BE1E2-22BB-4FE9-AAE9-04BBEE50E003}">
            <xm:f>VLOOKUP(D8,Calendars!$O$1:$U$398,MATCH($X$1,Calendars!$O$1:$U$1,0),FALSE)="Non Contract"</xm:f>
            <x14:dxf>
              <fill>
                <patternFill patternType="lightDown"/>
              </fill>
              <border>
                <bottom/>
              </border>
            </x14:dxf>
          </x14:cfRule>
          <x14:cfRule type="expression" priority="2417" id="{E52EC308-C729-4174-89AA-30988B5089FE}">
            <xm:f>VLOOKUP(D8,Calendars!$O$1:$U$398,MATCH($X$1,Calendars!$O$1:$U$1,0),FALSE)="Holiday"</xm:f>
            <x14:dxf>
              <fill>
                <patternFill>
                  <bgColor rgb="FFFF99FF"/>
                </patternFill>
              </fill>
              <border>
                <bottom/>
              </border>
            </x14:dxf>
          </x14:cfRule>
          <xm:sqref>D7</xm:sqref>
        </x14:conditionalFormatting>
        <x14:conditionalFormatting xmlns:xm="http://schemas.microsoft.com/office/excel/2006/main">
          <x14:cfRule type="expression" priority="2397" id="{5F8405E4-23D1-462D-813D-CC4D7ACD03CF}">
            <xm:f>AND(VLOOKUP(E8,Calendars!$O$1:$U$398,MATCH($X$1,Calendars!$O$1:$U$1,0),FALSE)="Non Contract",$C$5&gt;0)</xm:f>
            <x14:dxf>
              <fill>
                <patternFill patternType="solid">
                  <fgColor theme="4" tint="0.79998168889431442"/>
                  <bgColor theme="8" tint="0.79995117038483843"/>
                </patternFill>
              </fill>
            </x14:dxf>
          </x14:cfRule>
          <xm:sqref>E7:G7</xm:sqref>
        </x14:conditionalFormatting>
        <x14:conditionalFormatting xmlns:xm="http://schemas.microsoft.com/office/excel/2006/main">
          <x14:cfRule type="expression" priority="2407" id="{32374149-A315-4A9C-A1FE-D7BDB2975952}">
            <xm:f>AND(VLOOKUP(E8,Calendars!$O$1:$U$398,MATCH($X$1,Calendars!$O$1:$U$1,0),FALSE)="",E7=0)</xm:f>
            <x14:dxf>
              <fill>
                <patternFill>
                  <bgColor theme="7" tint="0.79998168889431442"/>
                </patternFill>
              </fill>
            </x14:dxf>
          </x14:cfRule>
          <xm:sqref>E7:G7</xm:sqref>
        </x14:conditionalFormatting>
        <x14:conditionalFormatting xmlns:xm="http://schemas.microsoft.com/office/excel/2006/main">
          <x14:cfRule type="expression" priority="2396" id="{96135E7D-F5EE-4BFB-B144-6673789FB0AC}">
            <xm:f>VLOOKUP(E8,Calendars!$O$1:$U$398,MATCH($X$1,Calendars!$O$1:$U$1,0),FALSE)="Non Contract"</xm:f>
            <x14:dxf>
              <fill>
                <patternFill patternType="lightDown"/>
              </fill>
              <border>
                <bottom/>
              </border>
            </x14:dxf>
          </x14:cfRule>
          <x14:cfRule type="expression" priority="2405" id="{6ADDE9B9-BE85-4DB1-8E1C-86C1C378AAEF}">
            <xm:f>VLOOKUP(E8,Calendars!$O$1:$U$398,MATCH($X$1,Calendars!$O$1:$U$1,0),FALSE)="Holiday"</xm:f>
            <x14:dxf>
              <fill>
                <patternFill>
                  <bgColor rgb="FFFF99FF"/>
                </patternFill>
              </fill>
              <border>
                <bottom/>
              </border>
            </x14:dxf>
          </x14:cfRule>
          <xm:sqref>E7:G7</xm:sqref>
        </x14:conditionalFormatting>
        <x14:conditionalFormatting xmlns:xm="http://schemas.microsoft.com/office/excel/2006/main">
          <x14:cfRule type="expression" priority="2385" id="{D0585245-EAB3-4F93-9F15-C853EC03641A}">
            <xm:f>AND(VLOOKUP(C10,Calendars!$O$1:$U$398,MATCH($X$1,Calendars!$O$1:$U$1,0),FALSE)="Non Contract",$C$5&gt;0)</xm:f>
            <x14:dxf>
              <fill>
                <patternFill patternType="solid">
                  <fgColor theme="4" tint="0.79998168889431442"/>
                  <bgColor theme="8" tint="0.79995117038483843"/>
                </patternFill>
              </fill>
            </x14:dxf>
          </x14:cfRule>
          <xm:sqref>C9</xm:sqref>
        </x14:conditionalFormatting>
        <x14:conditionalFormatting xmlns:xm="http://schemas.microsoft.com/office/excel/2006/main">
          <x14:cfRule type="expression" priority="2395" id="{8A0BAAD7-C100-4489-9971-712CC7277A8A}">
            <xm:f>AND(VLOOKUP(C10,Calendars!$O$1:$U$398,MATCH($X$1,Calendars!$O$1:$U$1,0),FALSE)="",C9=0)</xm:f>
            <x14:dxf>
              <fill>
                <patternFill>
                  <bgColor theme="7" tint="0.79998168889431442"/>
                </patternFill>
              </fill>
            </x14:dxf>
          </x14:cfRule>
          <xm:sqref>C9</xm:sqref>
        </x14:conditionalFormatting>
        <x14:conditionalFormatting xmlns:xm="http://schemas.microsoft.com/office/excel/2006/main">
          <x14:cfRule type="expression" priority="2384" id="{BBF79F82-6C0E-4272-8C23-FA6422F236EA}">
            <xm:f>VLOOKUP(C10,Calendars!$O$1:$U$398,MATCH($X$1,Calendars!$O$1:$U$1,0),FALSE)="Non Contract"</xm:f>
            <x14:dxf>
              <fill>
                <patternFill patternType="lightDown"/>
              </fill>
              <border>
                <bottom/>
              </border>
            </x14:dxf>
          </x14:cfRule>
          <x14:cfRule type="expression" priority="2393" id="{A09CE33F-A819-4A7B-BB5D-0D8187C5CA38}">
            <xm:f>VLOOKUP(C10,Calendars!$O$1:$U$398,MATCH($X$1,Calendars!$O$1:$U$1,0),FALSE)="Holiday"</xm:f>
            <x14:dxf>
              <fill>
                <patternFill>
                  <bgColor rgb="FFFF99FF"/>
                </patternFill>
              </fill>
              <border>
                <bottom/>
              </border>
            </x14:dxf>
          </x14:cfRule>
          <xm:sqref>C9</xm:sqref>
        </x14:conditionalFormatting>
        <x14:conditionalFormatting xmlns:xm="http://schemas.microsoft.com/office/excel/2006/main">
          <x14:cfRule type="expression" priority="2373" id="{A965269C-8AA4-412A-B351-A963EA836BD3}">
            <xm:f>AND(VLOOKUP(D10,Calendars!$O$1:$U$398,MATCH($X$1,Calendars!$O$1:$U$1,0),FALSE)="Non Contract",$C$5&gt;0)</xm:f>
            <x14:dxf>
              <fill>
                <patternFill patternType="solid">
                  <fgColor theme="4" tint="0.79998168889431442"/>
                  <bgColor theme="8" tint="0.79995117038483843"/>
                </patternFill>
              </fill>
            </x14:dxf>
          </x14:cfRule>
          <xm:sqref>D9</xm:sqref>
        </x14:conditionalFormatting>
        <x14:conditionalFormatting xmlns:xm="http://schemas.microsoft.com/office/excel/2006/main">
          <x14:cfRule type="expression" priority="2383" id="{0A244BC9-02EE-46CF-95F3-E8394EAC6E69}">
            <xm:f>AND(VLOOKUP(D10,Calendars!$O$1:$U$398,MATCH($X$1,Calendars!$O$1:$U$1,0),FALSE)="",D9=0)</xm:f>
            <x14:dxf>
              <fill>
                <patternFill>
                  <bgColor theme="7" tint="0.79998168889431442"/>
                </patternFill>
              </fill>
            </x14:dxf>
          </x14:cfRule>
          <xm:sqref>D9</xm:sqref>
        </x14:conditionalFormatting>
        <x14:conditionalFormatting xmlns:xm="http://schemas.microsoft.com/office/excel/2006/main">
          <x14:cfRule type="expression" priority="2372" id="{E95535A2-0AD6-4960-BA3C-826F9F3B5DFB}">
            <xm:f>VLOOKUP(D10,Calendars!$O$1:$U$398,MATCH($X$1,Calendars!$O$1:$U$1,0),FALSE)="Non Contract"</xm:f>
            <x14:dxf>
              <fill>
                <patternFill patternType="lightDown"/>
              </fill>
              <border>
                <bottom/>
              </border>
            </x14:dxf>
          </x14:cfRule>
          <x14:cfRule type="expression" priority="2381" id="{FD5123BF-A320-4223-A189-1A944D555DBF}">
            <xm:f>VLOOKUP(D10,Calendars!$O$1:$U$398,MATCH($X$1,Calendars!$O$1:$U$1,0),FALSE)="Holiday"</xm:f>
            <x14:dxf>
              <fill>
                <patternFill>
                  <bgColor rgb="FFFF99FF"/>
                </patternFill>
              </fill>
              <border>
                <bottom/>
              </border>
            </x14:dxf>
          </x14:cfRule>
          <xm:sqref>D9</xm:sqref>
        </x14:conditionalFormatting>
        <x14:conditionalFormatting xmlns:xm="http://schemas.microsoft.com/office/excel/2006/main">
          <x14:cfRule type="expression" priority="2361" id="{ED092954-864D-4B28-A31F-87F1AB2CB97A}">
            <xm:f>AND(VLOOKUP(E10,Calendars!$O$1:$U$398,MATCH($X$1,Calendars!$O$1:$U$1,0),FALSE)="Non Contract",$C$5&gt;0)</xm:f>
            <x14:dxf>
              <fill>
                <patternFill patternType="solid">
                  <fgColor theme="4" tint="0.79998168889431442"/>
                  <bgColor theme="8" tint="0.79995117038483843"/>
                </patternFill>
              </fill>
            </x14:dxf>
          </x14:cfRule>
          <xm:sqref>E9:G9</xm:sqref>
        </x14:conditionalFormatting>
        <x14:conditionalFormatting xmlns:xm="http://schemas.microsoft.com/office/excel/2006/main">
          <x14:cfRule type="expression" priority="2371" id="{4ED49645-968F-4861-B81F-E0D9EF944623}">
            <xm:f>AND(VLOOKUP(E10,Calendars!$O$1:$U$398,MATCH($X$1,Calendars!$O$1:$U$1,0),FALSE)="",E9=0)</xm:f>
            <x14:dxf>
              <fill>
                <patternFill>
                  <bgColor theme="7" tint="0.79998168889431442"/>
                </patternFill>
              </fill>
            </x14:dxf>
          </x14:cfRule>
          <xm:sqref>E9:G9</xm:sqref>
        </x14:conditionalFormatting>
        <x14:conditionalFormatting xmlns:xm="http://schemas.microsoft.com/office/excel/2006/main">
          <x14:cfRule type="expression" priority="2360" id="{85C80427-57E9-4067-9541-564420924254}">
            <xm:f>VLOOKUP(E10,Calendars!$O$1:$U$398,MATCH($X$1,Calendars!$O$1:$U$1,0),FALSE)="Non Contract"</xm:f>
            <x14:dxf>
              <fill>
                <patternFill patternType="lightDown"/>
              </fill>
              <border>
                <bottom/>
              </border>
            </x14:dxf>
          </x14:cfRule>
          <x14:cfRule type="expression" priority="2369" id="{50BEF618-3F46-4FDB-96AF-529AF3C55B34}">
            <xm:f>VLOOKUP(E10,Calendars!$O$1:$U$398,MATCH($X$1,Calendars!$O$1:$U$1,0),FALSE)="Holiday"</xm:f>
            <x14:dxf>
              <fill>
                <patternFill>
                  <bgColor rgb="FFFF99FF"/>
                </patternFill>
              </fill>
              <border>
                <bottom/>
              </border>
            </x14:dxf>
          </x14:cfRule>
          <xm:sqref>E9:G9</xm:sqref>
        </x14:conditionalFormatting>
        <x14:conditionalFormatting xmlns:xm="http://schemas.microsoft.com/office/excel/2006/main">
          <x14:cfRule type="expression" priority="2349" id="{81990B24-9957-489D-9D66-118A3C1EE662}">
            <xm:f>AND(VLOOKUP(C12,Calendars!$O$1:$U$398,MATCH($X$1,Calendars!$O$1:$U$1,0),FALSE)="Non Contract",$C$5&gt;0)</xm:f>
            <x14:dxf>
              <fill>
                <patternFill patternType="solid">
                  <fgColor theme="4" tint="0.79998168889431442"/>
                  <bgColor theme="8" tint="0.79995117038483843"/>
                </patternFill>
              </fill>
            </x14:dxf>
          </x14:cfRule>
          <xm:sqref>C11</xm:sqref>
        </x14:conditionalFormatting>
        <x14:conditionalFormatting xmlns:xm="http://schemas.microsoft.com/office/excel/2006/main">
          <x14:cfRule type="expression" priority="2359" id="{E56396CB-5A1E-4CC1-98D4-401DF0036592}">
            <xm:f>AND(VLOOKUP(C12,Calendars!$O$1:$U$398,MATCH($X$1,Calendars!$O$1:$U$1,0),FALSE)="",C11=0)</xm:f>
            <x14:dxf>
              <fill>
                <patternFill>
                  <bgColor theme="7" tint="0.79998168889431442"/>
                </patternFill>
              </fill>
            </x14:dxf>
          </x14:cfRule>
          <xm:sqref>C11</xm:sqref>
        </x14:conditionalFormatting>
        <x14:conditionalFormatting xmlns:xm="http://schemas.microsoft.com/office/excel/2006/main">
          <x14:cfRule type="expression" priority="2348" id="{CAC81D06-3F4C-4084-B3B7-C5941FA9F991}">
            <xm:f>VLOOKUP(C12,Calendars!$O$1:$U$398,MATCH($X$1,Calendars!$O$1:$U$1,0),FALSE)="Non Contract"</xm:f>
            <x14:dxf>
              <fill>
                <patternFill patternType="lightDown"/>
              </fill>
              <border>
                <bottom/>
              </border>
            </x14:dxf>
          </x14:cfRule>
          <x14:cfRule type="expression" priority="2357" id="{3D91EF96-FF38-4CBB-92F1-28612DF13483}">
            <xm:f>VLOOKUP(C12,Calendars!$O$1:$U$398,MATCH($X$1,Calendars!$O$1:$U$1,0),FALSE)="Holiday"</xm:f>
            <x14:dxf>
              <fill>
                <patternFill>
                  <bgColor rgb="FFFF99FF"/>
                </patternFill>
              </fill>
              <border>
                <bottom/>
              </border>
            </x14:dxf>
          </x14:cfRule>
          <xm:sqref>C11</xm:sqref>
        </x14:conditionalFormatting>
        <x14:conditionalFormatting xmlns:xm="http://schemas.microsoft.com/office/excel/2006/main">
          <x14:cfRule type="expression" priority="2337" id="{E5F1CE98-4EFF-4FFB-BC50-3C4A31D3C2B4}">
            <xm:f>AND(VLOOKUP(D12,Calendars!$O$1:$U$398,MATCH($X$1,Calendars!$O$1:$U$1,0),FALSE)="Non Contract",$C$5&gt;0)</xm:f>
            <x14:dxf>
              <fill>
                <patternFill patternType="solid">
                  <fgColor theme="4" tint="0.79998168889431442"/>
                  <bgColor theme="8" tint="0.79995117038483843"/>
                </patternFill>
              </fill>
            </x14:dxf>
          </x14:cfRule>
          <xm:sqref>D11</xm:sqref>
        </x14:conditionalFormatting>
        <x14:conditionalFormatting xmlns:xm="http://schemas.microsoft.com/office/excel/2006/main">
          <x14:cfRule type="expression" priority="2347" id="{9B75B514-792C-472E-8D8D-16119D3572F2}">
            <xm:f>AND(VLOOKUP(D12,Calendars!$O$1:$U$398,MATCH($X$1,Calendars!$O$1:$U$1,0),FALSE)="",D11=0)</xm:f>
            <x14:dxf>
              <fill>
                <patternFill>
                  <bgColor theme="7" tint="0.79998168889431442"/>
                </patternFill>
              </fill>
            </x14:dxf>
          </x14:cfRule>
          <xm:sqref>D11</xm:sqref>
        </x14:conditionalFormatting>
        <x14:conditionalFormatting xmlns:xm="http://schemas.microsoft.com/office/excel/2006/main">
          <x14:cfRule type="expression" priority="2336" id="{DC5C53C4-9825-4B90-9FB3-0E6D0146070B}">
            <xm:f>VLOOKUP(D12,Calendars!$O$1:$U$398,MATCH($X$1,Calendars!$O$1:$U$1,0),FALSE)="Non Contract"</xm:f>
            <x14:dxf>
              <fill>
                <patternFill patternType="lightDown"/>
              </fill>
              <border>
                <bottom/>
              </border>
            </x14:dxf>
          </x14:cfRule>
          <x14:cfRule type="expression" priority="2345" id="{02F9D1CA-9335-4F06-8ABE-580E6DA786B3}">
            <xm:f>VLOOKUP(D12,Calendars!$O$1:$U$398,MATCH($X$1,Calendars!$O$1:$U$1,0),FALSE)="Holiday"</xm:f>
            <x14:dxf>
              <fill>
                <patternFill>
                  <bgColor rgb="FFFF99FF"/>
                </patternFill>
              </fill>
              <border>
                <bottom/>
              </border>
            </x14:dxf>
          </x14:cfRule>
          <xm:sqref>D11</xm:sqref>
        </x14:conditionalFormatting>
        <x14:conditionalFormatting xmlns:xm="http://schemas.microsoft.com/office/excel/2006/main">
          <x14:cfRule type="expression" priority="2325" id="{BA6031C9-D085-49DC-A88E-B3DE7F55B060}">
            <xm:f>AND(VLOOKUP(E12,Calendars!$O$1:$U$398,MATCH($X$1,Calendars!$O$1:$U$1,0),FALSE)="Non Contract",$C$5&gt;0)</xm:f>
            <x14:dxf>
              <fill>
                <patternFill patternType="solid">
                  <fgColor theme="4" tint="0.79998168889431442"/>
                  <bgColor theme="8" tint="0.79995117038483843"/>
                </patternFill>
              </fill>
            </x14:dxf>
          </x14:cfRule>
          <xm:sqref>E11:G11</xm:sqref>
        </x14:conditionalFormatting>
        <x14:conditionalFormatting xmlns:xm="http://schemas.microsoft.com/office/excel/2006/main">
          <x14:cfRule type="expression" priority="2335" id="{01105C19-115F-443A-B446-61206C0D21C7}">
            <xm:f>AND(VLOOKUP(E12,Calendars!$O$1:$U$398,MATCH($X$1,Calendars!$O$1:$U$1,0),FALSE)="",E11=0)</xm:f>
            <x14:dxf>
              <fill>
                <patternFill>
                  <bgColor theme="7" tint="0.79998168889431442"/>
                </patternFill>
              </fill>
            </x14:dxf>
          </x14:cfRule>
          <xm:sqref>E11:G11</xm:sqref>
        </x14:conditionalFormatting>
        <x14:conditionalFormatting xmlns:xm="http://schemas.microsoft.com/office/excel/2006/main">
          <x14:cfRule type="expression" priority="2324" id="{EFF32841-9C42-476F-B4C6-9D5A4AF38393}">
            <xm:f>VLOOKUP(E12,Calendars!$O$1:$U$398,MATCH($X$1,Calendars!$O$1:$U$1,0),FALSE)="Non Contract"</xm:f>
            <x14:dxf>
              <fill>
                <patternFill patternType="lightDown"/>
              </fill>
              <border>
                <bottom/>
              </border>
            </x14:dxf>
          </x14:cfRule>
          <x14:cfRule type="expression" priority="2333" id="{95282521-8AEB-4B13-9CBA-33F806C72FE0}">
            <xm:f>VLOOKUP(E12,Calendars!$O$1:$U$398,MATCH($X$1,Calendars!$O$1:$U$1,0),FALSE)="Holiday"</xm:f>
            <x14:dxf>
              <fill>
                <patternFill>
                  <bgColor rgb="FFFF99FF"/>
                </patternFill>
              </fill>
              <border>
                <bottom/>
              </border>
            </x14:dxf>
          </x14:cfRule>
          <xm:sqref>E11:G11</xm:sqref>
        </x14:conditionalFormatting>
        <x14:conditionalFormatting xmlns:xm="http://schemas.microsoft.com/office/excel/2006/main">
          <x14:cfRule type="expression" priority="2313" id="{63CEC16D-9E0D-4ED5-9AD4-72A50EB642C9}">
            <xm:f>AND(VLOOKUP(C14,Calendars!$O$1:$U$398,MATCH($X$1,Calendars!$O$1:$U$1,0),FALSE)="Non Contract",$C$5&gt;0)</xm:f>
            <x14:dxf>
              <fill>
                <patternFill patternType="solid">
                  <fgColor theme="4" tint="0.79998168889431442"/>
                  <bgColor theme="8" tint="0.79995117038483843"/>
                </patternFill>
              </fill>
            </x14:dxf>
          </x14:cfRule>
          <xm:sqref>C13</xm:sqref>
        </x14:conditionalFormatting>
        <x14:conditionalFormatting xmlns:xm="http://schemas.microsoft.com/office/excel/2006/main">
          <x14:cfRule type="expression" priority="2323" id="{5090C877-B18A-4159-90A8-7319840484C2}">
            <xm:f>AND(VLOOKUP(C14,Calendars!$O$1:$U$398,MATCH($X$1,Calendars!$O$1:$U$1,0),FALSE)="",C13=0)</xm:f>
            <x14:dxf>
              <fill>
                <patternFill>
                  <bgColor theme="7" tint="0.79998168889431442"/>
                </patternFill>
              </fill>
            </x14:dxf>
          </x14:cfRule>
          <xm:sqref>C13</xm:sqref>
        </x14:conditionalFormatting>
        <x14:conditionalFormatting xmlns:xm="http://schemas.microsoft.com/office/excel/2006/main">
          <x14:cfRule type="expression" priority="2312" id="{3B753FAC-83F3-464B-98F7-3E978F6E06C0}">
            <xm:f>VLOOKUP(C14,Calendars!$O$1:$U$398,MATCH($X$1,Calendars!$O$1:$U$1,0),FALSE)="Non Contract"</xm:f>
            <x14:dxf>
              <fill>
                <patternFill patternType="lightDown"/>
              </fill>
              <border>
                <bottom/>
              </border>
            </x14:dxf>
          </x14:cfRule>
          <x14:cfRule type="expression" priority="2321" id="{F12C1930-B5DE-47D4-822D-FD4AB8D77AE7}">
            <xm:f>VLOOKUP(C14,Calendars!$O$1:$U$398,MATCH($X$1,Calendars!$O$1:$U$1,0),FALSE)="Holiday"</xm:f>
            <x14:dxf>
              <fill>
                <patternFill>
                  <bgColor rgb="FFFF99FF"/>
                </patternFill>
              </fill>
              <border>
                <bottom/>
              </border>
            </x14:dxf>
          </x14:cfRule>
          <xm:sqref>C13</xm:sqref>
        </x14:conditionalFormatting>
        <x14:conditionalFormatting xmlns:xm="http://schemas.microsoft.com/office/excel/2006/main">
          <x14:cfRule type="expression" priority="2301" id="{C9D77AC7-0BF6-4D38-8065-D676D4B6A843}">
            <xm:f>AND(VLOOKUP(D14,Calendars!$O$1:$U$398,MATCH($X$1,Calendars!$O$1:$U$1,0),FALSE)="Non Contract",$C$5&gt;0)</xm:f>
            <x14:dxf>
              <fill>
                <patternFill patternType="solid">
                  <fgColor theme="4" tint="0.79998168889431442"/>
                  <bgColor theme="8" tint="0.79995117038483843"/>
                </patternFill>
              </fill>
            </x14:dxf>
          </x14:cfRule>
          <xm:sqref>D13</xm:sqref>
        </x14:conditionalFormatting>
        <x14:conditionalFormatting xmlns:xm="http://schemas.microsoft.com/office/excel/2006/main">
          <x14:cfRule type="expression" priority="2311" id="{71C7FFFB-DC64-4F15-9F57-C54722EFFB52}">
            <xm:f>AND(VLOOKUP(D14,Calendars!$O$1:$U$398,MATCH($X$1,Calendars!$O$1:$U$1,0),FALSE)="",D13=0)</xm:f>
            <x14:dxf>
              <fill>
                <patternFill>
                  <bgColor theme="7" tint="0.79998168889431442"/>
                </patternFill>
              </fill>
            </x14:dxf>
          </x14:cfRule>
          <xm:sqref>D13</xm:sqref>
        </x14:conditionalFormatting>
        <x14:conditionalFormatting xmlns:xm="http://schemas.microsoft.com/office/excel/2006/main">
          <x14:cfRule type="expression" priority="2300" id="{C3A4EF3D-7C27-469D-BAC1-00B6FB8EA966}">
            <xm:f>VLOOKUP(D14,Calendars!$O$1:$U$398,MATCH($X$1,Calendars!$O$1:$U$1,0),FALSE)="Non Contract"</xm:f>
            <x14:dxf>
              <fill>
                <patternFill patternType="lightDown"/>
              </fill>
              <border>
                <bottom/>
              </border>
            </x14:dxf>
          </x14:cfRule>
          <x14:cfRule type="expression" priority="2309" id="{F8029DE9-754B-4822-AD0D-DC8002F9825C}">
            <xm:f>VLOOKUP(D14,Calendars!$O$1:$U$398,MATCH($X$1,Calendars!$O$1:$U$1,0),FALSE)="Holiday"</xm:f>
            <x14:dxf>
              <fill>
                <patternFill>
                  <bgColor rgb="FFFF99FF"/>
                </patternFill>
              </fill>
              <border>
                <bottom/>
              </border>
            </x14:dxf>
          </x14:cfRule>
          <xm:sqref>D13</xm:sqref>
        </x14:conditionalFormatting>
        <x14:conditionalFormatting xmlns:xm="http://schemas.microsoft.com/office/excel/2006/main">
          <x14:cfRule type="expression" priority="2289" id="{F09C49E9-0130-45FD-B1A6-6BE960DA2690}">
            <xm:f>AND(VLOOKUP(E14,Calendars!$O$1:$U$398,MATCH($X$1,Calendars!$O$1:$U$1,0),FALSE)="Non Contract",$C$5&gt;0)</xm:f>
            <x14:dxf>
              <fill>
                <patternFill patternType="solid">
                  <fgColor theme="4" tint="0.79998168889431442"/>
                  <bgColor theme="8" tint="0.79995117038483843"/>
                </patternFill>
              </fill>
            </x14:dxf>
          </x14:cfRule>
          <xm:sqref>E13:G13</xm:sqref>
        </x14:conditionalFormatting>
        <x14:conditionalFormatting xmlns:xm="http://schemas.microsoft.com/office/excel/2006/main">
          <x14:cfRule type="expression" priority="2299" id="{392FF081-2EDD-4B33-82EF-EEE5BD195ED0}">
            <xm:f>AND(VLOOKUP(E14,Calendars!$O$1:$U$398,MATCH($X$1,Calendars!$O$1:$U$1,0),FALSE)="",E13=0)</xm:f>
            <x14:dxf>
              <fill>
                <patternFill>
                  <bgColor theme="7" tint="0.79998168889431442"/>
                </patternFill>
              </fill>
            </x14:dxf>
          </x14:cfRule>
          <xm:sqref>E13:G13</xm:sqref>
        </x14:conditionalFormatting>
        <x14:conditionalFormatting xmlns:xm="http://schemas.microsoft.com/office/excel/2006/main">
          <x14:cfRule type="expression" priority="2288" id="{F76633B9-4009-4C5C-888F-60FBD9E28904}">
            <xm:f>VLOOKUP(E14,Calendars!$O$1:$U$398,MATCH($X$1,Calendars!$O$1:$U$1,0),FALSE)="Non Contract"</xm:f>
            <x14:dxf>
              <fill>
                <patternFill patternType="lightDown"/>
              </fill>
              <border>
                <bottom/>
              </border>
            </x14:dxf>
          </x14:cfRule>
          <x14:cfRule type="expression" priority="2297" id="{461D73FC-3C74-440B-87E7-35E5A7732CEC}">
            <xm:f>VLOOKUP(E14,Calendars!$O$1:$U$398,MATCH($X$1,Calendars!$O$1:$U$1,0),FALSE)="Holiday"</xm:f>
            <x14:dxf>
              <fill>
                <patternFill>
                  <bgColor rgb="FFFF99FF"/>
                </patternFill>
              </fill>
              <border>
                <bottom/>
              </border>
            </x14:dxf>
          </x14:cfRule>
          <xm:sqref>E13:G13</xm:sqref>
        </x14:conditionalFormatting>
        <x14:conditionalFormatting xmlns:xm="http://schemas.microsoft.com/office/excel/2006/main">
          <x14:cfRule type="expression" priority="2277" id="{88218331-8A07-4DA6-BE89-114140743CA9}">
            <xm:f>AND(VLOOKUP(J6,Calendars!$O$1:$U$398,MATCH($X$1,Calendars!$O$1:$U$1,0),FALSE)="Non Contract",$C$5&gt;0)</xm:f>
            <x14:dxf>
              <fill>
                <patternFill patternType="solid">
                  <fgColor theme="4" tint="0.79998168889431442"/>
                  <bgColor theme="8" tint="0.79995117038483843"/>
                </patternFill>
              </fill>
            </x14:dxf>
          </x14:cfRule>
          <xm:sqref>J5</xm:sqref>
        </x14:conditionalFormatting>
        <x14:conditionalFormatting xmlns:xm="http://schemas.microsoft.com/office/excel/2006/main">
          <x14:cfRule type="expression" priority="2287" id="{E8D733E1-6603-4FBB-AA74-D3268BEF7D3D}">
            <xm:f>AND(VLOOKUP(J6,Calendars!$O$1:$U$398,MATCH($X$1,Calendars!$O$1:$U$1,0),FALSE)="",J5=0)</xm:f>
            <x14:dxf>
              <fill>
                <patternFill>
                  <bgColor theme="7" tint="0.79998168889431442"/>
                </patternFill>
              </fill>
            </x14:dxf>
          </x14:cfRule>
          <xm:sqref>J5</xm:sqref>
        </x14:conditionalFormatting>
        <x14:conditionalFormatting xmlns:xm="http://schemas.microsoft.com/office/excel/2006/main">
          <x14:cfRule type="expression" priority="2276" id="{6E0B6BC8-1DD1-4FDD-A8EB-E9D7FDC231C9}">
            <xm:f>VLOOKUP(J6,Calendars!$O$1:$U$398,MATCH($X$1,Calendars!$O$1:$U$1,0),FALSE)="Non Contract"</xm:f>
            <x14:dxf>
              <fill>
                <patternFill patternType="lightDown"/>
              </fill>
              <border>
                <bottom/>
              </border>
            </x14:dxf>
          </x14:cfRule>
          <x14:cfRule type="expression" priority="2285" id="{7FBEE2CB-84C3-46F4-9836-95ACFF2DD705}">
            <xm:f>VLOOKUP(J6,Calendars!$O$1:$U$398,MATCH($X$1,Calendars!$O$1:$U$1,0),FALSE)="Holiday"</xm:f>
            <x14:dxf>
              <fill>
                <patternFill>
                  <bgColor rgb="FFFF99FF"/>
                </patternFill>
              </fill>
              <border>
                <bottom/>
              </border>
            </x14:dxf>
          </x14:cfRule>
          <xm:sqref>J5</xm:sqref>
        </x14:conditionalFormatting>
        <x14:conditionalFormatting xmlns:xm="http://schemas.microsoft.com/office/excel/2006/main">
          <x14:cfRule type="expression" priority="2265" id="{0F747437-1CD8-4C38-81EA-1F8293577C3C}">
            <xm:f>AND(VLOOKUP(K6,Calendars!$O$1:$U$398,MATCH($X$1,Calendars!$O$1:$U$1,0),FALSE)="Non Contract",$C$5&gt;0)</xm:f>
            <x14:dxf>
              <fill>
                <patternFill patternType="solid">
                  <fgColor theme="4" tint="0.79998168889431442"/>
                  <bgColor theme="8" tint="0.79995117038483843"/>
                </patternFill>
              </fill>
            </x14:dxf>
          </x14:cfRule>
          <xm:sqref>K5</xm:sqref>
        </x14:conditionalFormatting>
        <x14:conditionalFormatting xmlns:xm="http://schemas.microsoft.com/office/excel/2006/main">
          <x14:cfRule type="expression" priority="2275" id="{12BEA5C8-67DE-4C5F-9259-6766C571FA3A}">
            <xm:f>AND(VLOOKUP(K6,Calendars!$O$1:$U$398,MATCH($X$1,Calendars!$O$1:$U$1,0),FALSE)="",K5=0)</xm:f>
            <x14:dxf>
              <fill>
                <patternFill>
                  <bgColor theme="7" tint="0.79998168889431442"/>
                </patternFill>
              </fill>
            </x14:dxf>
          </x14:cfRule>
          <xm:sqref>K5</xm:sqref>
        </x14:conditionalFormatting>
        <x14:conditionalFormatting xmlns:xm="http://schemas.microsoft.com/office/excel/2006/main">
          <x14:cfRule type="expression" priority="2264" id="{895FA1F2-C019-4C04-8F52-69CACDF60BB3}">
            <xm:f>VLOOKUP(K6,Calendars!$O$1:$U$398,MATCH($X$1,Calendars!$O$1:$U$1,0),FALSE)="Non Contract"</xm:f>
            <x14:dxf>
              <fill>
                <patternFill patternType="lightDown"/>
              </fill>
              <border>
                <bottom/>
              </border>
            </x14:dxf>
          </x14:cfRule>
          <x14:cfRule type="expression" priority="2273" id="{52AD17C8-CDDB-4EA8-9DAE-F3FD6397EB59}">
            <xm:f>VLOOKUP(K6,Calendars!$O$1:$U$398,MATCH($X$1,Calendars!$O$1:$U$1,0),FALSE)="Holiday"</xm:f>
            <x14:dxf>
              <fill>
                <patternFill>
                  <bgColor rgb="FFFF99FF"/>
                </patternFill>
              </fill>
              <border>
                <bottom/>
              </border>
            </x14:dxf>
          </x14:cfRule>
          <xm:sqref>K5</xm:sqref>
        </x14:conditionalFormatting>
        <x14:conditionalFormatting xmlns:xm="http://schemas.microsoft.com/office/excel/2006/main">
          <x14:cfRule type="expression" priority="2253" id="{9394BAC0-C31C-47FD-9C36-BEE11759413A}">
            <xm:f>AND(VLOOKUP(L6,Calendars!$O$1:$U$398,MATCH($X$1,Calendars!$O$1:$U$1,0),FALSE)="Non Contract",$C$5&gt;0)</xm:f>
            <x14:dxf>
              <fill>
                <patternFill patternType="solid">
                  <fgColor theme="4" tint="0.79998168889431442"/>
                  <bgColor theme="8" tint="0.79995117038483843"/>
                </patternFill>
              </fill>
            </x14:dxf>
          </x14:cfRule>
          <xm:sqref>L5:N5</xm:sqref>
        </x14:conditionalFormatting>
        <x14:conditionalFormatting xmlns:xm="http://schemas.microsoft.com/office/excel/2006/main">
          <x14:cfRule type="expression" priority="2263" id="{C5531626-C068-4A47-85DE-A9E6D7F13C01}">
            <xm:f>AND(VLOOKUP(L6,Calendars!$O$1:$U$398,MATCH($X$1,Calendars!$O$1:$U$1,0),FALSE)="",L5=0)</xm:f>
            <x14:dxf>
              <fill>
                <patternFill>
                  <bgColor theme="7" tint="0.79998168889431442"/>
                </patternFill>
              </fill>
            </x14:dxf>
          </x14:cfRule>
          <xm:sqref>L5:N5</xm:sqref>
        </x14:conditionalFormatting>
        <x14:conditionalFormatting xmlns:xm="http://schemas.microsoft.com/office/excel/2006/main">
          <x14:cfRule type="expression" priority="2252" id="{3E2E9EF1-F51B-4B6C-836E-4C6FB6DA91BB}">
            <xm:f>VLOOKUP(L6,Calendars!$O$1:$U$398,MATCH($X$1,Calendars!$O$1:$U$1,0),FALSE)="Non Contract"</xm:f>
            <x14:dxf>
              <fill>
                <patternFill patternType="lightDown"/>
              </fill>
              <border>
                <bottom/>
              </border>
            </x14:dxf>
          </x14:cfRule>
          <x14:cfRule type="expression" priority="2261" id="{40017956-E54E-47B4-A319-4E9A06CBD355}">
            <xm:f>VLOOKUP(L6,Calendars!$O$1:$U$398,MATCH($X$1,Calendars!$O$1:$U$1,0),FALSE)="Holiday"</xm:f>
            <x14:dxf>
              <fill>
                <patternFill>
                  <bgColor rgb="FFFF99FF"/>
                </patternFill>
              </fill>
              <border>
                <bottom/>
              </border>
            </x14:dxf>
          </x14:cfRule>
          <xm:sqref>L5:N5</xm:sqref>
        </x14:conditionalFormatting>
        <x14:conditionalFormatting xmlns:xm="http://schemas.microsoft.com/office/excel/2006/main">
          <x14:cfRule type="expression" priority="2241" id="{8572360A-0715-4019-A712-7D20BDBDB8DC}">
            <xm:f>AND(VLOOKUP(J8,Calendars!$O$1:$U$398,MATCH($X$1,Calendars!$O$1:$U$1,0),FALSE)="Non Contract",$C$5&gt;0)</xm:f>
            <x14:dxf>
              <fill>
                <patternFill patternType="solid">
                  <fgColor theme="4" tint="0.79998168889431442"/>
                  <bgColor theme="8" tint="0.79995117038483843"/>
                </patternFill>
              </fill>
            </x14:dxf>
          </x14:cfRule>
          <xm:sqref>J7</xm:sqref>
        </x14:conditionalFormatting>
        <x14:conditionalFormatting xmlns:xm="http://schemas.microsoft.com/office/excel/2006/main">
          <x14:cfRule type="expression" priority="2251" id="{B592BE79-E1CA-4C4A-A3AF-26EFF657AA2A}">
            <xm:f>AND(VLOOKUP(J8,Calendars!$O$1:$U$398,MATCH($X$1,Calendars!$O$1:$U$1,0),FALSE)="",J7=0)</xm:f>
            <x14:dxf>
              <fill>
                <patternFill>
                  <bgColor theme="7" tint="0.79998168889431442"/>
                </patternFill>
              </fill>
            </x14:dxf>
          </x14:cfRule>
          <xm:sqref>J7</xm:sqref>
        </x14:conditionalFormatting>
        <x14:conditionalFormatting xmlns:xm="http://schemas.microsoft.com/office/excel/2006/main">
          <x14:cfRule type="expression" priority="2240" id="{54AB6B09-CD69-486F-948B-BB3C2684E836}">
            <xm:f>VLOOKUP(J8,Calendars!$O$1:$U$398,MATCH($X$1,Calendars!$O$1:$U$1,0),FALSE)="Non Contract"</xm:f>
            <x14:dxf>
              <fill>
                <patternFill patternType="lightDown"/>
              </fill>
              <border>
                <bottom/>
              </border>
            </x14:dxf>
          </x14:cfRule>
          <x14:cfRule type="expression" priority="2249" id="{4EC56F8A-5F81-4926-AE79-980265E1A195}">
            <xm:f>VLOOKUP(J8,Calendars!$O$1:$U$398,MATCH($X$1,Calendars!$O$1:$U$1,0),FALSE)="Holiday"</xm:f>
            <x14:dxf>
              <fill>
                <patternFill>
                  <bgColor rgb="FFFF99FF"/>
                </patternFill>
              </fill>
              <border>
                <bottom/>
              </border>
            </x14:dxf>
          </x14:cfRule>
          <xm:sqref>J7</xm:sqref>
        </x14:conditionalFormatting>
        <x14:conditionalFormatting xmlns:xm="http://schemas.microsoft.com/office/excel/2006/main">
          <x14:cfRule type="expression" priority="2229" id="{B89A09FE-49D3-4436-B95C-646F27C404E5}">
            <xm:f>AND(VLOOKUP(K8,Calendars!$O$1:$U$398,MATCH($X$1,Calendars!$O$1:$U$1,0),FALSE)="Non Contract",$C$5&gt;0)</xm:f>
            <x14:dxf>
              <fill>
                <patternFill patternType="solid">
                  <fgColor theme="4" tint="0.79998168889431442"/>
                  <bgColor theme="8" tint="0.79995117038483843"/>
                </patternFill>
              </fill>
            </x14:dxf>
          </x14:cfRule>
          <xm:sqref>K7</xm:sqref>
        </x14:conditionalFormatting>
        <x14:conditionalFormatting xmlns:xm="http://schemas.microsoft.com/office/excel/2006/main">
          <x14:cfRule type="expression" priority="2239" id="{2DEBB4FC-AF24-4053-AEC2-F32C482E3797}">
            <xm:f>AND(VLOOKUP(K8,Calendars!$O$1:$U$398,MATCH($X$1,Calendars!$O$1:$U$1,0),FALSE)="",K7=0)</xm:f>
            <x14:dxf>
              <fill>
                <patternFill>
                  <bgColor theme="7" tint="0.79998168889431442"/>
                </patternFill>
              </fill>
            </x14:dxf>
          </x14:cfRule>
          <xm:sqref>K7</xm:sqref>
        </x14:conditionalFormatting>
        <x14:conditionalFormatting xmlns:xm="http://schemas.microsoft.com/office/excel/2006/main">
          <x14:cfRule type="expression" priority="2228" id="{C147FEF4-F4AE-4E69-B55E-E43ED101B945}">
            <xm:f>VLOOKUP(K8,Calendars!$O$1:$U$398,MATCH($X$1,Calendars!$O$1:$U$1,0),FALSE)="Non Contract"</xm:f>
            <x14:dxf>
              <fill>
                <patternFill patternType="lightDown"/>
              </fill>
              <border>
                <bottom/>
              </border>
            </x14:dxf>
          </x14:cfRule>
          <x14:cfRule type="expression" priority="2237" id="{FF0A097F-6790-4D42-A8A1-0F712875E6C1}">
            <xm:f>VLOOKUP(K8,Calendars!$O$1:$U$398,MATCH($X$1,Calendars!$O$1:$U$1,0),FALSE)="Holiday"</xm:f>
            <x14:dxf>
              <fill>
                <patternFill>
                  <bgColor rgb="FFFF99FF"/>
                </patternFill>
              </fill>
              <border>
                <bottom/>
              </border>
            </x14:dxf>
          </x14:cfRule>
          <xm:sqref>K7</xm:sqref>
        </x14:conditionalFormatting>
        <x14:conditionalFormatting xmlns:xm="http://schemas.microsoft.com/office/excel/2006/main">
          <x14:cfRule type="expression" priority="2217" id="{8BF86E98-F85C-451A-977C-7707B8C0BBC4}">
            <xm:f>AND(VLOOKUP(L8,Calendars!$O$1:$U$398,MATCH($X$1,Calendars!$O$1:$U$1,0),FALSE)="Non Contract",$C$5&gt;0)</xm:f>
            <x14:dxf>
              <fill>
                <patternFill patternType="solid">
                  <fgColor theme="4" tint="0.79998168889431442"/>
                  <bgColor theme="8" tint="0.79995117038483843"/>
                </patternFill>
              </fill>
            </x14:dxf>
          </x14:cfRule>
          <xm:sqref>L7:N7</xm:sqref>
        </x14:conditionalFormatting>
        <x14:conditionalFormatting xmlns:xm="http://schemas.microsoft.com/office/excel/2006/main">
          <x14:cfRule type="expression" priority="2227" id="{11FF66F8-E7B8-4F11-8620-B2C96DC83AB1}">
            <xm:f>AND(VLOOKUP(L8,Calendars!$O$1:$U$398,MATCH($X$1,Calendars!$O$1:$U$1,0),FALSE)="",L7=0)</xm:f>
            <x14:dxf>
              <fill>
                <patternFill>
                  <bgColor theme="7" tint="0.79998168889431442"/>
                </patternFill>
              </fill>
            </x14:dxf>
          </x14:cfRule>
          <xm:sqref>L7:N7</xm:sqref>
        </x14:conditionalFormatting>
        <x14:conditionalFormatting xmlns:xm="http://schemas.microsoft.com/office/excel/2006/main">
          <x14:cfRule type="expression" priority="2216" id="{E5B550D0-420B-4808-8780-CB518D19AB77}">
            <xm:f>VLOOKUP(L8,Calendars!$O$1:$U$398,MATCH($X$1,Calendars!$O$1:$U$1,0),FALSE)="Non Contract"</xm:f>
            <x14:dxf>
              <fill>
                <patternFill patternType="lightDown"/>
              </fill>
              <border>
                <bottom/>
              </border>
            </x14:dxf>
          </x14:cfRule>
          <x14:cfRule type="expression" priority="2225" id="{963BF4A0-2C5D-4CA2-ABA5-942D1F9445D6}">
            <xm:f>VLOOKUP(L8,Calendars!$O$1:$U$398,MATCH($X$1,Calendars!$O$1:$U$1,0),FALSE)="Holiday"</xm:f>
            <x14:dxf>
              <fill>
                <patternFill>
                  <bgColor rgb="FFFF99FF"/>
                </patternFill>
              </fill>
              <border>
                <bottom/>
              </border>
            </x14:dxf>
          </x14:cfRule>
          <xm:sqref>L7:N7</xm:sqref>
        </x14:conditionalFormatting>
        <x14:conditionalFormatting xmlns:xm="http://schemas.microsoft.com/office/excel/2006/main">
          <x14:cfRule type="expression" priority="2205" id="{A8EDC0BD-4F25-471F-9C72-6625EB4594BB}">
            <xm:f>AND(VLOOKUP(J10,Calendars!$O$1:$U$398,MATCH($X$1,Calendars!$O$1:$U$1,0),FALSE)="Non Contract",$C$5&gt;0)</xm:f>
            <x14:dxf>
              <fill>
                <patternFill patternType="solid">
                  <fgColor theme="4" tint="0.79998168889431442"/>
                  <bgColor theme="8" tint="0.79995117038483843"/>
                </patternFill>
              </fill>
            </x14:dxf>
          </x14:cfRule>
          <xm:sqref>J9</xm:sqref>
        </x14:conditionalFormatting>
        <x14:conditionalFormatting xmlns:xm="http://schemas.microsoft.com/office/excel/2006/main">
          <x14:cfRule type="expression" priority="2215" id="{618AF402-4E06-42B4-B928-C5AD4D1D9E80}">
            <xm:f>AND(VLOOKUP(J10,Calendars!$O$1:$U$398,MATCH($X$1,Calendars!$O$1:$U$1,0),FALSE)="",J9=0)</xm:f>
            <x14:dxf>
              <fill>
                <patternFill>
                  <bgColor theme="7" tint="0.79998168889431442"/>
                </patternFill>
              </fill>
            </x14:dxf>
          </x14:cfRule>
          <xm:sqref>J9</xm:sqref>
        </x14:conditionalFormatting>
        <x14:conditionalFormatting xmlns:xm="http://schemas.microsoft.com/office/excel/2006/main">
          <x14:cfRule type="expression" priority="2204" id="{6FB6B955-5253-4706-9306-C732CD9BB590}">
            <xm:f>VLOOKUP(J10,Calendars!$O$1:$U$398,MATCH($X$1,Calendars!$O$1:$U$1,0),FALSE)="Non Contract"</xm:f>
            <x14:dxf>
              <fill>
                <patternFill patternType="lightDown"/>
              </fill>
              <border>
                <bottom/>
              </border>
            </x14:dxf>
          </x14:cfRule>
          <x14:cfRule type="expression" priority="2213" id="{D491F96B-4043-49D7-A4CE-0E74C26AF13D}">
            <xm:f>VLOOKUP(J10,Calendars!$O$1:$U$398,MATCH($X$1,Calendars!$O$1:$U$1,0),FALSE)="Holiday"</xm:f>
            <x14:dxf>
              <fill>
                <patternFill>
                  <bgColor rgb="FFFF99FF"/>
                </patternFill>
              </fill>
              <border>
                <bottom/>
              </border>
            </x14:dxf>
          </x14:cfRule>
          <xm:sqref>J9</xm:sqref>
        </x14:conditionalFormatting>
        <x14:conditionalFormatting xmlns:xm="http://schemas.microsoft.com/office/excel/2006/main">
          <x14:cfRule type="expression" priority="2193" id="{D3567FAB-DEA1-4EE2-B91F-C768BDB120C3}">
            <xm:f>AND(VLOOKUP(K10,Calendars!$O$1:$U$398,MATCH($X$1,Calendars!$O$1:$U$1,0),FALSE)="Non Contract",$C$5&gt;0)</xm:f>
            <x14:dxf>
              <fill>
                <patternFill patternType="solid">
                  <fgColor theme="4" tint="0.79998168889431442"/>
                  <bgColor theme="8" tint="0.79995117038483843"/>
                </patternFill>
              </fill>
            </x14:dxf>
          </x14:cfRule>
          <xm:sqref>K9</xm:sqref>
        </x14:conditionalFormatting>
        <x14:conditionalFormatting xmlns:xm="http://schemas.microsoft.com/office/excel/2006/main">
          <x14:cfRule type="expression" priority="2203" id="{5AED5E4A-B19D-43A6-A942-6E230EB98EFD}">
            <xm:f>AND(VLOOKUP(K10,Calendars!$O$1:$U$398,MATCH($X$1,Calendars!$O$1:$U$1,0),FALSE)="",K9=0)</xm:f>
            <x14:dxf>
              <fill>
                <patternFill>
                  <bgColor theme="7" tint="0.79998168889431442"/>
                </patternFill>
              </fill>
            </x14:dxf>
          </x14:cfRule>
          <xm:sqref>K9</xm:sqref>
        </x14:conditionalFormatting>
        <x14:conditionalFormatting xmlns:xm="http://schemas.microsoft.com/office/excel/2006/main">
          <x14:cfRule type="expression" priority="2192" id="{291EE44C-66F9-473F-A87B-133834C46119}">
            <xm:f>VLOOKUP(K10,Calendars!$O$1:$U$398,MATCH($X$1,Calendars!$O$1:$U$1,0),FALSE)="Non Contract"</xm:f>
            <x14:dxf>
              <fill>
                <patternFill patternType="lightDown"/>
              </fill>
              <border>
                <bottom/>
              </border>
            </x14:dxf>
          </x14:cfRule>
          <x14:cfRule type="expression" priority="2201" id="{78D405EE-7114-4FBE-B3D2-47028FC758A0}">
            <xm:f>VLOOKUP(K10,Calendars!$O$1:$U$398,MATCH($X$1,Calendars!$O$1:$U$1,0),FALSE)="Holiday"</xm:f>
            <x14:dxf>
              <fill>
                <patternFill>
                  <bgColor rgb="FFFF99FF"/>
                </patternFill>
              </fill>
              <border>
                <bottom/>
              </border>
            </x14:dxf>
          </x14:cfRule>
          <xm:sqref>K9</xm:sqref>
        </x14:conditionalFormatting>
        <x14:conditionalFormatting xmlns:xm="http://schemas.microsoft.com/office/excel/2006/main">
          <x14:cfRule type="expression" priority="2181" id="{AA744B1B-DB25-492E-AC64-AF8A886BEC00}">
            <xm:f>AND(VLOOKUP(L10,Calendars!$O$1:$U$398,MATCH($X$1,Calendars!$O$1:$U$1,0),FALSE)="Non Contract",$C$5&gt;0)</xm:f>
            <x14:dxf>
              <fill>
                <patternFill patternType="solid">
                  <fgColor theme="4" tint="0.79998168889431442"/>
                  <bgColor theme="8" tint="0.79995117038483843"/>
                </patternFill>
              </fill>
            </x14:dxf>
          </x14:cfRule>
          <xm:sqref>L9:N9</xm:sqref>
        </x14:conditionalFormatting>
        <x14:conditionalFormatting xmlns:xm="http://schemas.microsoft.com/office/excel/2006/main">
          <x14:cfRule type="expression" priority="2191" id="{8489A99E-ABFB-4ACB-A947-BCFADB92501B}">
            <xm:f>AND(VLOOKUP(L10,Calendars!$O$1:$U$398,MATCH($X$1,Calendars!$O$1:$U$1,0),FALSE)="",L9=0)</xm:f>
            <x14:dxf>
              <fill>
                <patternFill>
                  <bgColor theme="7" tint="0.79998168889431442"/>
                </patternFill>
              </fill>
            </x14:dxf>
          </x14:cfRule>
          <xm:sqref>L9:N9</xm:sqref>
        </x14:conditionalFormatting>
        <x14:conditionalFormatting xmlns:xm="http://schemas.microsoft.com/office/excel/2006/main">
          <x14:cfRule type="expression" priority="2180" id="{28E65571-E2DC-4B51-AA5D-8775B98CD2CC}">
            <xm:f>VLOOKUP(L10,Calendars!$O$1:$U$398,MATCH($X$1,Calendars!$O$1:$U$1,0),FALSE)="Non Contract"</xm:f>
            <x14:dxf>
              <fill>
                <patternFill patternType="lightDown"/>
              </fill>
              <border>
                <bottom/>
              </border>
            </x14:dxf>
          </x14:cfRule>
          <x14:cfRule type="expression" priority="2189" id="{452D5214-A29C-47EC-9C58-E1F2CDC04BEA}">
            <xm:f>VLOOKUP(L10,Calendars!$O$1:$U$398,MATCH($X$1,Calendars!$O$1:$U$1,0),FALSE)="Holiday"</xm:f>
            <x14:dxf>
              <fill>
                <patternFill>
                  <bgColor rgb="FFFF99FF"/>
                </patternFill>
              </fill>
              <border>
                <bottom/>
              </border>
            </x14:dxf>
          </x14:cfRule>
          <xm:sqref>L9:N9</xm:sqref>
        </x14:conditionalFormatting>
        <x14:conditionalFormatting xmlns:xm="http://schemas.microsoft.com/office/excel/2006/main">
          <x14:cfRule type="expression" priority="2169" id="{DC2DC793-6BC3-4C66-B825-4A50EEB12676}">
            <xm:f>AND(VLOOKUP(J12,Calendars!$O$1:$U$398,MATCH($X$1,Calendars!$O$1:$U$1,0),FALSE)="Non Contract",$C$5&gt;0)</xm:f>
            <x14:dxf>
              <fill>
                <patternFill patternType="solid">
                  <fgColor theme="4" tint="0.79998168889431442"/>
                  <bgColor theme="8" tint="0.79995117038483843"/>
                </patternFill>
              </fill>
            </x14:dxf>
          </x14:cfRule>
          <xm:sqref>J11</xm:sqref>
        </x14:conditionalFormatting>
        <x14:conditionalFormatting xmlns:xm="http://schemas.microsoft.com/office/excel/2006/main">
          <x14:cfRule type="expression" priority="2179" id="{20873504-2E2A-4E12-B2CB-04436C5AE472}">
            <xm:f>AND(VLOOKUP(J12,Calendars!$O$1:$U$398,MATCH($X$1,Calendars!$O$1:$U$1,0),FALSE)="",J11=0)</xm:f>
            <x14:dxf>
              <fill>
                <patternFill>
                  <bgColor theme="7" tint="0.79998168889431442"/>
                </patternFill>
              </fill>
            </x14:dxf>
          </x14:cfRule>
          <xm:sqref>J11</xm:sqref>
        </x14:conditionalFormatting>
        <x14:conditionalFormatting xmlns:xm="http://schemas.microsoft.com/office/excel/2006/main">
          <x14:cfRule type="expression" priority="2168" id="{2433FA6F-E082-4EB9-ABEE-6019CF5B3B26}">
            <xm:f>VLOOKUP(J12,Calendars!$O$1:$U$398,MATCH($X$1,Calendars!$O$1:$U$1,0),FALSE)="Non Contract"</xm:f>
            <x14:dxf>
              <fill>
                <patternFill patternType="lightDown"/>
              </fill>
              <border>
                <bottom/>
              </border>
            </x14:dxf>
          </x14:cfRule>
          <x14:cfRule type="expression" priority="2177" id="{6704D50E-7504-41A1-BF3B-20E542D63E20}">
            <xm:f>VLOOKUP(J12,Calendars!$O$1:$U$398,MATCH($X$1,Calendars!$O$1:$U$1,0),FALSE)="Holiday"</xm:f>
            <x14:dxf>
              <fill>
                <patternFill>
                  <bgColor rgb="FFFF99FF"/>
                </patternFill>
              </fill>
              <border>
                <bottom/>
              </border>
            </x14:dxf>
          </x14:cfRule>
          <xm:sqref>J11</xm:sqref>
        </x14:conditionalFormatting>
        <x14:conditionalFormatting xmlns:xm="http://schemas.microsoft.com/office/excel/2006/main">
          <x14:cfRule type="expression" priority="2157" id="{8A1C25D4-56F6-42DF-9630-EC55731C808D}">
            <xm:f>AND(VLOOKUP(K12,Calendars!$O$1:$U$398,MATCH($X$1,Calendars!$O$1:$U$1,0),FALSE)="Non Contract",$C$5&gt;0)</xm:f>
            <x14:dxf>
              <fill>
                <patternFill patternType="solid">
                  <fgColor theme="4" tint="0.79998168889431442"/>
                  <bgColor theme="8" tint="0.79995117038483843"/>
                </patternFill>
              </fill>
            </x14:dxf>
          </x14:cfRule>
          <xm:sqref>K11</xm:sqref>
        </x14:conditionalFormatting>
        <x14:conditionalFormatting xmlns:xm="http://schemas.microsoft.com/office/excel/2006/main">
          <x14:cfRule type="expression" priority="2167" id="{F88A5920-8F33-4C8A-9100-B5F43F755114}">
            <xm:f>AND(VLOOKUP(K12,Calendars!$O$1:$U$398,MATCH($X$1,Calendars!$O$1:$U$1,0),FALSE)="",K11=0)</xm:f>
            <x14:dxf>
              <fill>
                <patternFill>
                  <bgColor theme="7" tint="0.79998168889431442"/>
                </patternFill>
              </fill>
            </x14:dxf>
          </x14:cfRule>
          <xm:sqref>K11</xm:sqref>
        </x14:conditionalFormatting>
        <x14:conditionalFormatting xmlns:xm="http://schemas.microsoft.com/office/excel/2006/main">
          <x14:cfRule type="expression" priority="2156" id="{A73410AF-9C5E-433A-813E-67C3DC8C1D6E}">
            <xm:f>VLOOKUP(K12,Calendars!$O$1:$U$398,MATCH($X$1,Calendars!$O$1:$U$1,0),FALSE)="Non Contract"</xm:f>
            <x14:dxf>
              <fill>
                <patternFill patternType="lightDown"/>
              </fill>
              <border>
                <bottom/>
              </border>
            </x14:dxf>
          </x14:cfRule>
          <x14:cfRule type="expression" priority="2165" id="{7811CE86-6C86-4268-ACCE-5F3B3897CF1B}">
            <xm:f>VLOOKUP(K12,Calendars!$O$1:$U$398,MATCH($X$1,Calendars!$O$1:$U$1,0),FALSE)="Holiday"</xm:f>
            <x14:dxf>
              <fill>
                <patternFill>
                  <bgColor rgb="FFFF99FF"/>
                </patternFill>
              </fill>
              <border>
                <bottom/>
              </border>
            </x14:dxf>
          </x14:cfRule>
          <xm:sqref>K11</xm:sqref>
        </x14:conditionalFormatting>
        <x14:conditionalFormatting xmlns:xm="http://schemas.microsoft.com/office/excel/2006/main">
          <x14:cfRule type="expression" priority="2145" id="{019A37B9-C1AF-4DA8-813B-D8F2B933820B}">
            <xm:f>AND(VLOOKUP(L12,Calendars!$O$1:$U$398,MATCH($X$1,Calendars!$O$1:$U$1,0),FALSE)="Non Contract",$C$5&gt;0)</xm:f>
            <x14:dxf>
              <fill>
                <patternFill patternType="solid">
                  <fgColor theme="4" tint="0.79998168889431442"/>
                  <bgColor theme="8" tint="0.79995117038483843"/>
                </patternFill>
              </fill>
            </x14:dxf>
          </x14:cfRule>
          <xm:sqref>L11:N11</xm:sqref>
        </x14:conditionalFormatting>
        <x14:conditionalFormatting xmlns:xm="http://schemas.microsoft.com/office/excel/2006/main">
          <x14:cfRule type="expression" priority="2155" id="{6C880EAE-9801-4129-99CA-59BE8F8B2A25}">
            <xm:f>AND(VLOOKUP(L12,Calendars!$O$1:$U$398,MATCH($X$1,Calendars!$O$1:$U$1,0),FALSE)="",L11=0)</xm:f>
            <x14:dxf>
              <fill>
                <patternFill>
                  <bgColor theme="7" tint="0.79998168889431442"/>
                </patternFill>
              </fill>
            </x14:dxf>
          </x14:cfRule>
          <xm:sqref>L11:N11</xm:sqref>
        </x14:conditionalFormatting>
        <x14:conditionalFormatting xmlns:xm="http://schemas.microsoft.com/office/excel/2006/main">
          <x14:cfRule type="expression" priority="2144" id="{FA569F0A-36F0-4619-80EC-71C8ECEB1EA8}">
            <xm:f>VLOOKUP(L12,Calendars!$O$1:$U$398,MATCH($X$1,Calendars!$O$1:$U$1,0),FALSE)="Non Contract"</xm:f>
            <x14:dxf>
              <fill>
                <patternFill patternType="lightDown"/>
              </fill>
              <border>
                <bottom/>
              </border>
            </x14:dxf>
          </x14:cfRule>
          <x14:cfRule type="expression" priority="2153" id="{D16354F0-3EFB-4A24-96CB-84CA291E0462}">
            <xm:f>VLOOKUP(L12,Calendars!$O$1:$U$398,MATCH($X$1,Calendars!$O$1:$U$1,0),FALSE)="Holiday"</xm:f>
            <x14:dxf>
              <fill>
                <patternFill>
                  <bgColor rgb="FFFF99FF"/>
                </patternFill>
              </fill>
              <border>
                <bottom/>
              </border>
            </x14:dxf>
          </x14:cfRule>
          <xm:sqref>L11:N11</xm:sqref>
        </x14:conditionalFormatting>
        <x14:conditionalFormatting xmlns:xm="http://schemas.microsoft.com/office/excel/2006/main">
          <x14:cfRule type="expression" priority="2133" id="{8771B86A-9C91-41C7-91D5-2FF071040A53}">
            <xm:f>AND(VLOOKUP(J14,Calendars!$O$1:$U$398,MATCH($X$1,Calendars!$O$1:$U$1,0),FALSE)="Non Contract",$C$5&gt;0)</xm:f>
            <x14:dxf>
              <fill>
                <patternFill patternType="solid">
                  <fgColor theme="4" tint="0.79998168889431442"/>
                  <bgColor theme="8" tint="0.79995117038483843"/>
                </patternFill>
              </fill>
            </x14:dxf>
          </x14:cfRule>
          <xm:sqref>J13</xm:sqref>
        </x14:conditionalFormatting>
        <x14:conditionalFormatting xmlns:xm="http://schemas.microsoft.com/office/excel/2006/main">
          <x14:cfRule type="expression" priority="2143" id="{81550C5B-C452-4690-86A0-D966D0B6FBC6}">
            <xm:f>AND(VLOOKUP(J14,Calendars!$O$1:$U$398,MATCH($X$1,Calendars!$O$1:$U$1,0),FALSE)="",J13=0)</xm:f>
            <x14:dxf>
              <fill>
                <patternFill>
                  <bgColor theme="7" tint="0.79998168889431442"/>
                </patternFill>
              </fill>
            </x14:dxf>
          </x14:cfRule>
          <xm:sqref>J13</xm:sqref>
        </x14:conditionalFormatting>
        <x14:conditionalFormatting xmlns:xm="http://schemas.microsoft.com/office/excel/2006/main">
          <x14:cfRule type="expression" priority="2132" id="{AE888A5B-19A4-4767-ABF9-94F94E9AA2F1}">
            <xm:f>VLOOKUP(J14,Calendars!$O$1:$U$398,MATCH($X$1,Calendars!$O$1:$U$1,0),FALSE)="Non Contract"</xm:f>
            <x14:dxf>
              <fill>
                <patternFill patternType="lightDown"/>
              </fill>
              <border>
                <bottom/>
              </border>
            </x14:dxf>
          </x14:cfRule>
          <x14:cfRule type="expression" priority="2141" id="{A9972CF8-867F-46FC-9DEE-A1DBB2AB11FF}">
            <xm:f>VLOOKUP(J14,Calendars!$O$1:$U$398,MATCH($X$1,Calendars!$O$1:$U$1,0),FALSE)="Holiday"</xm:f>
            <x14:dxf>
              <fill>
                <patternFill>
                  <bgColor rgb="FFFF99FF"/>
                </patternFill>
              </fill>
              <border>
                <bottom/>
              </border>
            </x14:dxf>
          </x14:cfRule>
          <xm:sqref>J13</xm:sqref>
        </x14:conditionalFormatting>
        <x14:conditionalFormatting xmlns:xm="http://schemas.microsoft.com/office/excel/2006/main">
          <x14:cfRule type="expression" priority="2121" id="{EC882492-948C-47C9-8E6B-5F31B73152BF}">
            <xm:f>AND(VLOOKUP(K14,Calendars!$O$1:$U$398,MATCH($X$1,Calendars!$O$1:$U$1,0),FALSE)="Non Contract",$C$5&gt;0)</xm:f>
            <x14:dxf>
              <fill>
                <patternFill patternType="solid">
                  <fgColor theme="4" tint="0.79998168889431442"/>
                  <bgColor theme="8" tint="0.79995117038483843"/>
                </patternFill>
              </fill>
            </x14:dxf>
          </x14:cfRule>
          <xm:sqref>K13</xm:sqref>
        </x14:conditionalFormatting>
        <x14:conditionalFormatting xmlns:xm="http://schemas.microsoft.com/office/excel/2006/main">
          <x14:cfRule type="expression" priority="2131" id="{34563BCE-6409-432A-A972-26F1F1886A9A}">
            <xm:f>AND(VLOOKUP(K14,Calendars!$O$1:$U$398,MATCH($X$1,Calendars!$O$1:$U$1,0),FALSE)="",K13=0)</xm:f>
            <x14:dxf>
              <fill>
                <patternFill>
                  <bgColor theme="7" tint="0.79998168889431442"/>
                </patternFill>
              </fill>
            </x14:dxf>
          </x14:cfRule>
          <xm:sqref>K13</xm:sqref>
        </x14:conditionalFormatting>
        <x14:conditionalFormatting xmlns:xm="http://schemas.microsoft.com/office/excel/2006/main">
          <x14:cfRule type="expression" priority="2120" id="{68BE1B27-F46F-4ED1-9767-B8893A331CAD}">
            <xm:f>VLOOKUP(K14,Calendars!$O$1:$U$398,MATCH($X$1,Calendars!$O$1:$U$1,0),FALSE)="Non Contract"</xm:f>
            <x14:dxf>
              <fill>
                <patternFill patternType="lightDown"/>
              </fill>
              <border>
                <bottom/>
              </border>
            </x14:dxf>
          </x14:cfRule>
          <x14:cfRule type="expression" priority="2129" id="{399C2A79-F25D-4587-81ED-406EBF7D7E25}">
            <xm:f>VLOOKUP(K14,Calendars!$O$1:$U$398,MATCH($X$1,Calendars!$O$1:$U$1,0),FALSE)="Holiday"</xm:f>
            <x14:dxf>
              <fill>
                <patternFill>
                  <bgColor rgb="FFFF99FF"/>
                </patternFill>
              </fill>
              <border>
                <bottom/>
              </border>
            </x14:dxf>
          </x14:cfRule>
          <xm:sqref>K13</xm:sqref>
        </x14:conditionalFormatting>
        <x14:conditionalFormatting xmlns:xm="http://schemas.microsoft.com/office/excel/2006/main">
          <x14:cfRule type="expression" priority="2109" id="{B7FC39A4-DEE4-4F53-B47E-3C32134ECF17}">
            <xm:f>AND(VLOOKUP(L14,Calendars!$O$1:$U$398,MATCH($X$1,Calendars!$O$1:$U$1,0),FALSE)="Non Contract",$C$5&gt;0)</xm:f>
            <x14:dxf>
              <fill>
                <patternFill patternType="solid">
                  <fgColor theme="4" tint="0.79998168889431442"/>
                  <bgColor theme="8" tint="0.79995117038483843"/>
                </patternFill>
              </fill>
            </x14:dxf>
          </x14:cfRule>
          <xm:sqref>L13:N13</xm:sqref>
        </x14:conditionalFormatting>
        <x14:conditionalFormatting xmlns:xm="http://schemas.microsoft.com/office/excel/2006/main">
          <x14:cfRule type="expression" priority="2119" id="{85992995-9FA6-4738-84E9-91F1B4858A05}">
            <xm:f>AND(VLOOKUP(L14,Calendars!$O$1:$U$398,MATCH($X$1,Calendars!$O$1:$U$1,0),FALSE)="",L13=0)</xm:f>
            <x14:dxf>
              <fill>
                <patternFill>
                  <bgColor theme="7" tint="0.79998168889431442"/>
                </patternFill>
              </fill>
            </x14:dxf>
          </x14:cfRule>
          <xm:sqref>L13:N13</xm:sqref>
        </x14:conditionalFormatting>
        <x14:conditionalFormatting xmlns:xm="http://schemas.microsoft.com/office/excel/2006/main">
          <x14:cfRule type="expression" priority="2108" id="{0767741C-DF7F-4EA6-8154-20CAA556ADB3}">
            <xm:f>VLOOKUP(L14,Calendars!$O$1:$U$398,MATCH($X$1,Calendars!$O$1:$U$1,0),FALSE)="Non Contract"</xm:f>
            <x14:dxf>
              <fill>
                <patternFill patternType="lightDown"/>
              </fill>
              <border>
                <bottom/>
              </border>
            </x14:dxf>
          </x14:cfRule>
          <x14:cfRule type="expression" priority="2117" id="{C61161C1-9FAA-4F94-99FA-CDAB444BB479}">
            <xm:f>VLOOKUP(L14,Calendars!$O$1:$U$398,MATCH($X$1,Calendars!$O$1:$U$1,0),FALSE)="Holiday"</xm:f>
            <x14:dxf>
              <fill>
                <patternFill>
                  <bgColor rgb="FFFF99FF"/>
                </patternFill>
              </fill>
              <border>
                <bottom/>
              </border>
            </x14:dxf>
          </x14:cfRule>
          <xm:sqref>L13:N13</xm:sqref>
        </x14:conditionalFormatting>
        <x14:conditionalFormatting xmlns:xm="http://schemas.microsoft.com/office/excel/2006/main">
          <x14:cfRule type="expression" priority="2097" id="{27F04192-B789-449D-B2AC-81784DD0BFCA}">
            <xm:f>AND(VLOOKUP(Q6,Calendars!$O$1:$U$398,MATCH($X$1,Calendars!$O$1:$U$1,0),FALSE)="Non Contract",$C$5&gt;0)</xm:f>
            <x14:dxf>
              <fill>
                <patternFill patternType="solid">
                  <fgColor theme="4" tint="0.79998168889431442"/>
                  <bgColor theme="8" tint="0.79995117038483843"/>
                </patternFill>
              </fill>
            </x14:dxf>
          </x14:cfRule>
          <xm:sqref>Q5</xm:sqref>
        </x14:conditionalFormatting>
        <x14:conditionalFormatting xmlns:xm="http://schemas.microsoft.com/office/excel/2006/main">
          <x14:cfRule type="expression" priority="2107" id="{5C1C4EB8-183F-41F8-8015-92F06B08404A}">
            <xm:f>AND(VLOOKUP(Q6,Calendars!$O$1:$U$398,MATCH($X$1,Calendars!$O$1:$U$1,0),FALSE)="",Q5=0)</xm:f>
            <x14:dxf>
              <fill>
                <patternFill>
                  <bgColor theme="7" tint="0.79998168889431442"/>
                </patternFill>
              </fill>
            </x14:dxf>
          </x14:cfRule>
          <xm:sqref>Q5</xm:sqref>
        </x14:conditionalFormatting>
        <x14:conditionalFormatting xmlns:xm="http://schemas.microsoft.com/office/excel/2006/main">
          <x14:cfRule type="expression" priority="2096" id="{84AEDF3C-DA5C-45DB-8C02-46A9DF5C9751}">
            <xm:f>VLOOKUP(Q6,Calendars!$O$1:$U$398,MATCH($X$1,Calendars!$O$1:$U$1,0),FALSE)="Non Contract"</xm:f>
            <x14:dxf>
              <fill>
                <patternFill patternType="lightDown"/>
              </fill>
              <border>
                <bottom/>
              </border>
            </x14:dxf>
          </x14:cfRule>
          <x14:cfRule type="expression" priority="2105" id="{284FEE67-514B-43BE-9A14-5DFF1A384268}">
            <xm:f>VLOOKUP(Q6,Calendars!$O$1:$U$398,MATCH($X$1,Calendars!$O$1:$U$1,0),FALSE)="Holiday"</xm:f>
            <x14:dxf>
              <fill>
                <patternFill>
                  <bgColor rgb="FFFF99FF"/>
                </patternFill>
              </fill>
              <border>
                <bottom/>
              </border>
            </x14:dxf>
          </x14:cfRule>
          <xm:sqref>Q5</xm:sqref>
        </x14:conditionalFormatting>
        <x14:conditionalFormatting xmlns:xm="http://schemas.microsoft.com/office/excel/2006/main">
          <x14:cfRule type="expression" priority="2085" id="{1A0F8F4C-77D6-4F25-AB55-335C168D7515}">
            <xm:f>AND(VLOOKUP(R6,Calendars!$O$1:$U$398,MATCH($X$1,Calendars!$O$1:$U$1,0),FALSE)="Non Contract",$C$5&gt;0)</xm:f>
            <x14:dxf>
              <fill>
                <patternFill patternType="solid">
                  <fgColor theme="4" tint="0.79998168889431442"/>
                  <bgColor theme="8" tint="0.79995117038483843"/>
                </patternFill>
              </fill>
            </x14:dxf>
          </x14:cfRule>
          <xm:sqref>R5</xm:sqref>
        </x14:conditionalFormatting>
        <x14:conditionalFormatting xmlns:xm="http://schemas.microsoft.com/office/excel/2006/main">
          <x14:cfRule type="expression" priority="2095" id="{AE3DFBE3-AD6D-4819-A8AD-6C3B00D519A7}">
            <xm:f>AND(VLOOKUP(R6,Calendars!$O$1:$U$398,MATCH($X$1,Calendars!$O$1:$U$1,0),FALSE)="",R5=0)</xm:f>
            <x14:dxf>
              <fill>
                <patternFill>
                  <bgColor theme="7" tint="0.79998168889431442"/>
                </patternFill>
              </fill>
            </x14:dxf>
          </x14:cfRule>
          <xm:sqref>R5</xm:sqref>
        </x14:conditionalFormatting>
        <x14:conditionalFormatting xmlns:xm="http://schemas.microsoft.com/office/excel/2006/main">
          <x14:cfRule type="expression" priority="2084" id="{AA3DAFF5-01D2-4581-95AA-4A24CE20A719}">
            <xm:f>VLOOKUP(R6,Calendars!$O$1:$U$398,MATCH($X$1,Calendars!$O$1:$U$1,0),FALSE)="Non Contract"</xm:f>
            <x14:dxf>
              <fill>
                <patternFill patternType="lightDown"/>
              </fill>
              <border>
                <bottom/>
              </border>
            </x14:dxf>
          </x14:cfRule>
          <x14:cfRule type="expression" priority="2093" id="{BA325C69-0773-4158-9987-A8F0164C9C18}">
            <xm:f>VLOOKUP(R6,Calendars!$O$1:$U$398,MATCH($X$1,Calendars!$O$1:$U$1,0),FALSE)="Holiday"</xm:f>
            <x14:dxf>
              <fill>
                <patternFill>
                  <bgColor rgb="FFFF99FF"/>
                </patternFill>
              </fill>
              <border>
                <bottom/>
              </border>
            </x14:dxf>
          </x14:cfRule>
          <xm:sqref>R5</xm:sqref>
        </x14:conditionalFormatting>
        <x14:conditionalFormatting xmlns:xm="http://schemas.microsoft.com/office/excel/2006/main">
          <x14:cfRule type="expression" priority="2073" id="{07684EB7-169A-4858-A838-8B0BA1F712E3}">
            <xm:f>AND(VLOOKUP(S6,Calendars!$O$1:$U$398,MATCH($X$1,Calendars!$O$1:$U$1,0),FALSE)="Non Contract",$C$5&gt;0)</xm:f>
            <x14:dxf>
              <fill>
                <patternFill patternType="solid">
                  <fgColor theme="4" tint="0.79998168889431442"/>
                  <bgColor theme="8" tint="0.79995117038483843"/>
                </patternFill>
              </fill>
            </x14:dxf>
          </x14:cfRule>
          <xm:sqref>S5:U5</xm:sqref>
        </x14:conditionalFormatting>
        <x14:conditionalFormatting xmlns:xm="http://schemas.microsoft.com/office/excel/2006/main">
          <x14:cfRule type="expression" priority="2083" id="{1B1C4B2C-1D40-41D3-BE66-B88B4278BD06}">
            <xm:f>AND(VLOOKUP(S6,Calendars!$O$1:$U$398,MATCH($X$1,Calendars!$O$1:$U$1,0),FALSE)="",S5=0)</xm:f>
            <x14:dxf>
              <fill>
                <patternFill>
                  <bgColor theme="7" tint="0.79998168889431442"/>
                </patternFill>
              </fill>
            </x14:dxf>
          </x14:cfRule>
          <xm:sqref>S5:U5</xm:sqref>
        </x14:conditionalFormatting>
        <x14:conditionalFormatting xmlns:xm="http://schemas.microsoft.com/office/excel/2006/main">
          <x14:cfRule type="expression" priority="2072" id="{5EDB9D40-A0F3-41C9-8F91-701F17D72F77}">
            <xm:f>VLOOKUP(S6,Calendars!$O$1:$U$398,MATCH($X$1,Calendars!$O$1:$U$1,0),FALSE)="Non Contract"</xm:f>
            <x14:dxf>
              <fill>
                <patternFill patternType="lightDown"/>
              </fill>
              <border>
                <bottom/>
              </border>
            </x14:dxf>
          </x14:cfRule>
          <x14:cfRule type="expression" priority="2081" id="{5C164CC1-43F7-4747-AB78-08CE4E8DD141}">
            <xm:f>VLOOKUP(S6,Calendars!$O$1:$U$398,MATCH($X$1,Calendars!$O$1:$U$1,0),FALSE)="Holiday"</xm:f>
            <x14:dxf>
              <fill>
                <patternFill>
                  <bgColor rgb="FFFF99FF"/>
                </patternFill>
              </fill>
              <border>
                <bottom/>
              </border>
            </x14:dxf>
          </x14:cfRule>
          <xm:sqref>S5:U5</xm:sqref>
        </x14:conditionalFormatting>
        <x14:conditionalFormatting xmlns:xm="http://schemas.microsoft.com/office/excel/2006/main">
          <x14:cfRule type="expression" priority="2061" id="{22C23CB1-D01A-4996-BE55-D20AEDA8ED99}">
            <xm:f>AND(VLOOKUP(Q8,Calendars!$O$1:$U$398,MATCH($X$1,Calendars!$O$1:$U$1,0),FALSE)="Non Contract",$C$5&gt;0)</xm:f>
            <x14:dxf>
              <fill>
                <patternFill patternType="solid">
                  <fgColor theme="4" tint="0.79998168889431442"/>
                  <bgColor theme="8" tint="0.79995117038483843"/>
                </patternFill>
              </fill>
            </x14:dxf>
          </x14:cfRule>
          <xm:sqref>Q7</xm:sqref>
        </x14:conditionalFormatting>
        <x14:conditionalFormatting xmlns:xm="http://schemas.microsoft.com/office/excel/2006/main">
          <x14:cfRule type="expression" priority="2071" id="{BB0A0165-EB66-438F-A4DB-3D33886FE2BF}">
            <xm:f>AND(VLOOKUP(Q8,Calendars!$O$1:$U$398,MATCH($X$1,Calendars!$O$1:$U$1,0),FALSE)="",Q7=0)</xm:f>
            <x14:dxf>
              <fill>
                <patternFill>
                  <bgColor theme="7" tint="0.79998168889431442"/>
                </patternFill>
              </fill>
            </x14:dxf>
          </x14:cfRule>
          <xm:sqref>Q7</xm:sqref>
        </x14:conditionalFormatting>
        <x14:conditionalFormatting xmlns:xm="http://schemas.microsoft.com/office/excel/2006/main">
          <x14:cfRule type="expression" priority="2060" id="{5B8A9246-316E-40AF-8BDE-2E187B6E0FEF}">
            <xm:f>VLOOKUP(Q8,Calendars!$O$1:$U$398,MATCH($X$1,Calendars!$O$1:$U$1,0),FALSE)="Non Contract"</xm:f>
            <x14:dxf>
              <fill>
                <patternFill patternType="lightDown"/>
              </fill>
              <border>
                <bottom/>
              </border>
            </x14:dxf>
          </x14:cfRule>
          <x14:cfRule type="expression" priority="2069" id="{A2D597AC-D175-43D0-A568-7390558B6194}">
            <xm:f>VLOOKUP(Q8,Calendars!$O$1:$U$398,MATCH($X$1,Calendars!$O$1:$U$1,0),FALSE)="Holiday"</xm:f>
            <x14:dxf>
              <fill>
                <patternFill>
                  <bgColor rgb="FFFF99FF"/>
                </patternFill>
              </fill>
              <border>
                <bottom/>
              </border>
            </x14:dxf>
          </x14:cfRule>
          <xm:sqref>Q7</xm:sqref>
        </x14:conditionalFormatting>
        <x14:conditionalFormatting xmlns:xm="http://schemas.microsoft.com/office/excel/2006/main">
          <x14:cfRule type="expression" priority="2049" id="{686B4FC4-B25B-435C-ACAB-C1DAE2A25E47}">
            <xm:f>AND(VLOOKUP(R8,Calendars!$O$1:$U$398,MATCH($X$1,Calendars!$O$1:$U$1,0),FALSE)="Non Contract",$C$5&gt;0)</xm:f>
            <x14:dxf>
              <fill>
                <patternFill patternType="solid">
                  <fgColor theme="4" tint="0.79998168889431442"/>
                  <bgColor theme="8" tint="0.79995117038483843"/>
                </patternFill>
              </fill>
            </x14:dxf>
          </x14:cfRule>
          <xm:sqref>R7</xm:sqref>
        </x14:conditionalFormatting>
        <x14:conditionalFormatting xmlns:xm="http://schemas.microsoft.com/office/excel/2006/main">
          <x14:cfRule type="expression" priority="2059" id="{25504E31-CC3E-423A-893B-73A6A13777D3}">
            <xm:f>AND(VLOOKUP(R8,Calendars!$O$1:$U$398,MATCH($X$1,Calendars!$O$1:$U$1,0),FALSE)="",R7=0)</xm:f>
            <x14:dxf>
              <fill>
                <patternFill>
                  <bgColor theme="7" tint="0.79998168889431442"/>
                </patternFill>
              </fill>
            </x14:dxf>
          </x14:cfRule>
          <xm:sqref>R7</xm:sqref>
        </x14:conditionalFormatting>
        <x14:conditionalFormatting xmlns:xm="http://schemas.microsoft.com/office/excel/2006/main">
          <x14:cfRule type="expression" priority="2048" id="{53DEEACF-F314-4BB9-8644-E999462A5AEA}">
            <xm:f>VLOOKUP(R8,Calendars!$O$1:$U$398,MATCH($X$1,Calendars!$O$1:$U$1,0),FALSE)="Non Contract"</xm:f>
            <x14:dxf>
              <fill>
                <patternFill patternType="lightDown"/>
              </fill>
              <border>
                <bottom/>
              </border>
            </x14:dxf>
          </x14:cfRule>
          <x14:cfRule type="expression" priority="2057" id="{70E5655D-0473-41D8-A2B2-8F51E2CC0C98}">
            <xm:f>VLOOKUP(R8,Calendars!$O$1:$U$398,MATCH($X$1,Calendars!$O$1:$U$1,0),FALSE)="Holiday"</xm:f>
            <x14:dxf>
              <fill>
                <patternFill>
                  <bgColor rgb="FFFF99FF"/>
                </patternFill>
              </fill>
              <border>
                <bottom/>
              </border>
            </x14:dxf>
          </x14:cfRule>
          <xm:sqref>R7</xm:sqref>
        </x14:conditionalFormatting>
        <x14:conditionalFormatting xmlns:xm="http://schemas.microsoft.com/office/excel/2006/main">
          <x14:cfRule type="expression" priority="2037" id="{C86D54F1-3FB3-4AB8-8DBF-12DADC243CCC}">
            <xm:f>AND(VLOOKUP(S8,Calendars!$O$1:$U$398,MATCH($X$1,Calendars!$O$1:$U$1,0),FALSE)="Non Contract",$C$5&gt;0)</xm:f>
            <x14:dxf>
              <fill>
                <patternFill patternType="solid">
                  <fgColor theme="4" tint="0.79998168889431442"/>
                  <bgColor theme="8" tint="0.79995117038483843"/>
                </patternFill>
              </fill>
            </x14:dxf>
          </x14:cfRule>
          <xm:sqref>S7:U7</xm:sqref>
        </x14:conditionalFormatting>
        <x14:conditionalFormatting xmlns:xm="http://schemas.microsoft.com/office/excel/2006/main">
          <x14:cfRule type="expression" priority="2047" id="{02326B5B-9B1C-418D-988A-08AD63AA6F1B}">
            <xm:f>AND(VLOOKUP(S8,Calendars!$O$1:$U$398,MATCH($X$1,Calendars!$O$1:$U$1,0),FALSE)="",S7=0)</xm:f>
            <x14:dxf>
              <fill>
                <patternFill>
                  <bgColor theme="7" tint="0.79998168889431442"/>
                </patternFill>
              </fill>
            </x14:dxf>
          </x14:cfRule>
          <xm:sqref>S7:U7</xm:sqref>
        </x14:conditionalFormatting>
        <x14:conditionalFormatting xmlns:xm="http://schemas.microsoft.com/office/excel/2006/main">
          <x14:cfRule type="expression" priority="2036" id="{8E940A14-7785-4171-88C9-0244EC1ACC3E}">
            <xm:f>VLOOKUP(S8,Calendars!$O$1:$U$398,MATCH($X$1,Calendars!$O$1:$U$1,0),FALSE)="Non Contract"</xm:f>
            <x14:dxf>
              <fill>
                <patternFill patternType="lightDown"/>
              </fill>
              <border>
                <bottom/>
              </border>
            </x14:dxf>
          </x14:cfRule>
          <x14:cfRule type="expression" priority="2045" id="{5C0306BC-9909-4004-A234-AE4F4A2A00B5}">
            <xm:f>VLOOKUP(S8,Calendars!$O$1:$U$398,MATCH($X$1,Calendars!$O$1:$U$1,0),FALSE)="Holiday"</xm:f>
            <x14:dxf>
              <fill>
                <patternFill>
                  <bgColor rgb="FFFF99FF"/>
                </patternFill>
              </fill>
              <border>
                <bottom/>
              </border>
            </x14:dxf>
          </x14:cfRule>
          <xm:sqref>S7:U7</xm:sqref>
        </x14:conditionalFormatting>
        <x14:conditionalFormatting xmlns:xm="http://schemas.microsoft.com/office/excel/2006/main">
          <x14:cfRule type="expression" priority="2025" id="{EC431D7A-F90B-4228-97DA-38916922E1B5}">
            <xm:f>AND(VLOOKUP(Q10,Calendars!$O$1:$U$398,MATCH($X$1,Calendars!$O$1:$U$1,0),FALSE)="Non Contract",$C$5&gt;0)</xm:f>
            <x14:dxf>
              <fill>
                <patternFill patternType="solid">
                  <fgColor theme="4" tint="0.79998168889431442"/>
                  <bgColor theme="8" tint="0.79995117038483843"/>
                </patternFill>
              </fill>
            </x14:dxf>
          </x14:cfRule>
          <xm:sqref>Q9</xm:sqref>
        </x14:conditionalFormatting>
        <x14:conditionalFormatting xmlns:xm="http://schemas.microsoft.com/office/excel/2006/main">
          <x14:cfRule type="expression" priority="2035" id="{AB60C1B6-8B13-4858-B68A-F6FA2BB518CE}">
            <xm:f>AND(VLOOKUP(Q10,Calendars!$O$1:$U$398,MATCH($X$1,Calendars!$O$1:$U$1,0),FALSE)="",Q9=0)</xm:f>
            <x14:dxf>
              <fill>
                <patternFill>
                  <bgColor theme="7" tint="0.79998168889431442"/>
                </patternFill>
              </fill>
            </x14:dxf>
          </x14:cfRule>
          <xm:sqref>Q9</xm:sqref>
        </x14:conditionalFormatting>
        <x14:conditionalFormatting xmlns:xm="http://schemas.microsoft.com/office/excel/2006/main">
          <x14:cfRule type="expression" priority="2024" id="{3BFC89E5-22A7-48BE-B03C-C6601F30F6AC}">
            <xm:f>VLOOKUP(Q10,Calendars!$O$1:$U$398,MATCH($X$1,Calendars!$O$1:$U$1,0),FALSE)="Non Contract"</xm:f>
            <x14:dxf>
              <fill>
                <patternFill patternType="lightDown"/>
              </fill>
              <border>
                <bottom/>
              </border>
            </x14:dxf>
          </x14:cfRule>
          <x14:cfRule type="expression" priority="2033" id="{1FC2EE96-7F26-4763-832B-C24E7FC3F4BD}">
            <xm:f>VLOOKUP(Q10,Calendars!$O$1:$U$398,MATCH($X$1,Calendars!$O$1:$U$1,0),FALSE)="Holiday"</xm:f>
            <x14:dxf>
              <fill>
                <patternFill>
                  <bgColor rgb="FFFF99FF"/>
                </patternFill>
              </fill>
              <border>
                <bottom/>
              </border>
            </x14:dxf>
          </x14:cfRule>
          <xm:sqref>Q9</xm:sqref>
        </x14:conditionalFormatting>
        <x14:conditionalFormatting xmlns:xm="http://schemas.microsoft.com/office/excel/2006/main">
          <x14:cfRule type="expression" priority="2013" id="{BD4FD2C7-D22F-4C49-A616-A125161A8BC2}">
            <xm:f>AND(VLOOKUP(R10,Calendars!$O$1:$U$398,MATCH($X$1,Calendars!$O$1:$U$1,0),FALSE)="Non Contract",$C$5&gt;0)</xm:f>
            <x14:dxf>
              <fill>
                <patternFill patternType="solid">
                  <fgColor theme="4" tint="0.79998168889431442"/>
                  <bgColor theme="8" tint="0.79995117038483843"/>
                </patternFill>
              </fill>
            </x14:dxf>
          </x14:cfRule>
          <xm:sqref>R9</xm:sqref>
        </x14:conditionalFormatting>
        <x14:conditionalFormatting xmlns:xm="http://schemas.microsoft.com/office/excel/2006/main">
          <x14:cfRule type="expression" priority="2023" id="{CA795CF1-23D8-4957-8C02-D3417134E6B7}">
            <xm:f>AND(VLOOKUP(R10,Calendars!$O$1:$U$398,MATCH($X$1,Calendars!$O$1:$U$1,0),FALSE)="",R9=0)</xm:f>
            <x14:dxf>
              <fill>
                <patternFill>
                  <bgColor theme="7" tint="0.79998168889431442"/>
                </patternFill>
              </fill>
            </x14:dxf>
          </x14:cfRule>
          <xm:sqref>R9</xm:sqref>
        </x14:conditionalFormatting>
        <x14:conditionalFormatting xmlns:xm="http://schemas.microsoft.com/office/excel/2006/main">
          <x14:cfRule type="expression" priority="2012" id="{F5C330E7-9069-40DD-9868-B3BC43964459}">
            <xm:f>VLOOKUP(R10,Calendars!$O$1:$U$398,MATCH($X$1,Calendars!$O$1:$U$1,0),FALSE)="Non Contract"</xm:f>
            <x14:dxf>
              <fill>
                <patternFill patternType="lightDown"/>
              </fill>
              <border>
                <bottom/>
              </border>
            </x14:dxf>
          </x14:cfRule>
          <x14:cfRule type="expression" priority="2021" id="{54E90C22-E2D2-402E-900C-DD780CE60F32}">
            <xm:f>VLOOKUP(R10,Calendars!$O$1:$U$398,MATCH($X$1,Calendars!$O$1:$U$1,0),FALSE)="Holiday"</xm:f>
            <x14:dxf>
              <fill>
                <patternFill>
                  <bgColor rgb="FFFF99FF"/>
                </patternFill>
              </fill>
              <border>
                <bottom/>
              </border>
            </x14:dxf>
          </x14:cfRule>
          <xm:sqref>R9</xm:sqref>
        </x14:conditionalFormatting>
        <x14:conditionalFormatting xmlns:xm="http://schemas.microsoft.com/office/excel/2006/main">
          <x14:cfRule type="expression" priority="2001" id="{621CE17F-D9FA-485D-975D-8BF8F6D7E23A}">
            <xm:f>AND(VLOOKUP(S10,Calendars!$O$1:$U$398,MATCH($X$1,Calendars!$O$1:$U$1,0),FALSE)="Non Contract",$C$5&gt;0)</xm:f>
            <x14:dxf>
              <fill>
                <patternFill patternType="solid">
                  <fgColor theme="4" tint="0.79998168889431442"/>
                  <bgColor theme="8" tint="0.79995117038483843"/>
                </patternFill>
              </fill>
            </x14:dxf>
          </x14:cfRule>
          <xm:sqref>S9:U9</xm:sqref>
        </x14:conditionalFormatting>
        <x14:conditionalFormatting xmlns:xm="http://schemas.microsoft.com/office/excel/2006/main">
          <x14:cfRule type="expression" priority="2011" id="{72FEB0C7-C60F-4ECC-AF15-819327857476}">
            <xm:f>AND(VLOOKUP(S10,Calendars!$O$1:$U$398,MATCH($X$1,Calendars!$O$1:$U$1,0),FALSE)="",S9=0)</xm:f>
            <x14:dxf>
              <fill>
                <patternFill>
                  <bgColor theme="7" tint="0.79998168889431442"/>
                </patternFill>
              </fill>
            </x14:dxf>
          </x14:cfRule>
          <xm:sqref>S9:U9</xm:sqref>
        </x14:conditionalFormatting>
        <x14:conditionalFormatting xmlns:xm="http://schemas.microsoft.com/office/excel/2006/main">
          <x14:cfRule type="expression" priority="2000" id="{60177F02-F0F2-408E-9D63-B186FC2BF238}">
            <xm:f>VLOOKUP(S10,Calendars!$O$1:$U$398,MATCH($X$1,Calendars!$O$1:$U$1,0),FALSE)="Non Contract"</xm:f>
            <x14:dxf>
              <fill>
                <patternFill patternType="lightDown"/>
              </fill>
              <border>
                <bottom/>
              </border>
            </x14:dxf>
          </x14:cfRule>
          <x14:cfRule type="expression" priority="2009" id="{6B56A5B0-B112-4E4C-B79D-C581483CFCE6}">
            <xm:f>VLOOKUP(S10,Calendars!$O$1:$U$398,MATCH($X$1,Calendars!$O$1:$U$1,0),FALSE)="Holiday"</xm:f>
            <x14:dxf>
              <fill>
                <patternFill>
                  <bgColor rgb="FFFF99FF"/>
                </patternFill>
              </fill>
              <border>
                <bottom/>
              </border>
            </x14:dxf>
          </x14:cfRule>
          <xm:sqref>S9:U9</xm:sqref>
        </x14:conditionalFormatting>
        <x14:conditionalFormatting xmlns:xm="http://schemas.microsoft.com/office/excel/2006/main">
          <x14:cfRule type="expression" priority="1989" id="{6F596064-B4EA-4604-A7CF-C6FB8BD0C6B9}">
            <xm:f>AND(VLOOKUP(Q12,Calendars!$O$1:$U$398,MATCH($X$1,Calendars!$O$1:$U$1,0),FALSE)="Non Contract",$C$5&gt;0)</xm:f>
            <x14:dxf>
              <fill>
                <patternFill patternType="solid">
                  <fgColor theme="4" tint="0.79998168889431442"/>
                  <bgColor theme="8" tint="0.79995117038483843"/>
                </patternFill>
              </fill>
            </x14:dxf>
          </x14:cfRule>
          <xm:sqref>Q11</xm:sqref>
        </x14:conditionalFormatting>
        <x14:conditionalFormatting xmlns:xm="http://schemas.microsoft.com/office/excel/2006/main">
          <x14:cfRule type="expression" priority="1999" id="{BEF159CD-B048-4D92-9FAF-C1BC073B2380}">
            <xm:f>AND(VLOOKUP(Q12,Calendars!$O$1:$U$398,MATCH($X$1,Calendars!$O$1:$U$1,0),FALSE)="",Q11=0)</xm:f>
            <x14:dxf>
              <fill>
                <patternFill>
                  <bgColor theme="7" tint="0.79998168889431442"/>
                </patternFill>
              </fill>
            </x14:dxf>
          </x14:cfRule>
          <xm:sqref>Q11</xm:sqref>
        </x14:conditionalFormatting>
        <x14:conditionalFormatting xmlns:xm="http://schemas.microsoft.com/office/excel/2006/main">
          <x14:cfRule type="expression" priority="1988" id="{57D1C7A8-74CD-4808-8856-BBAFEF6426CD}">
            <xm:f>VLOOKUP(Q12,Calendars!$O$1:$U$398,MATCH($X$1,Calendars!$O$1:$U$1,0),FALSE)="Non Contract"</xm:f>
            <x14:dxf>
              <fill>
                <patternFill patternType="lightDown"/>
              </fill>
              <border>
                <bottom/>
              </border>
            </x14:dxf>
          </x14:cfRule>
          <x14:cfRule type="expression" priority="1997" id="{24172293-2FCD-4C23-B6E4-B8B13327877D}">
            <xm:f>VLOOKUP(Q12,Calendars!$O$1:$U$398,MATCH($X$1,Calendars!$O$1:$U$1,0),FALSE)="Holiday"</xm:f>
            <x14:dxf>
              <fill>
                <patternFill>
                  <bgColor rgb="FFFF99FF"/>
                </patternFill>
              </fill>
              <border>
                <bottom/>
              </border>
            </x14:dxf>
          </x14:cfRule>
          <xm:sqref>Q11</xm:sqref>
        </x14:conditionalFormatting>
        <x14:conditionalFormatting xmlns:xm="http://schemas.microsoft.com/office/excel/2006/main">
          <x14:cfRule type="expression" priority="1977" id="{52B5D00E-BA34-487C-A584-9D9560A3F615}">
            <xm:f>AND(VLOOKUP(R12,Calendars!$O$1:$U$398,MATCH($X$1,Calendars!$O$1:$U$1,0),FALSE)="Non Contract",$C$5&gt;0)</xm:f>
            <x14:dxf>
              <fill>
                <patternFill patternType="solid">
                  <fgColor theme="4" tint="0.79998168889431442"/>
                  <bgColor theme="8" tint="0.79995117038483843"/>
                </patternFill>
              </fill>
            </x14:dxf>
          </x14:cfRule>
          <xm:sqref>R11</xm:sqref>
        </x14:conditionalFormatting>
        <x14:conditionalFormatting xmlns:xm="http://schemas.microsoft.com/office/excel/2006/main">
          <x14:cfRule type="expression" priority="1987" id="{E3E42633-DED6-40AE-A06E-A6D2E212FF99}">
            <xm:f>AND(VLOOKUP(R12,Calendars!$O$1:$U$398,MATCH($X$1,Calendars!$O$1:$U$1,0),FALSE)="",R11=0)</xm:f>
            <x14:dxf>
              <fill>
                <patternFill>
                  <bgColor theme="7" tint="0.79998168889431442"/>
                </patternFill>
              </fill>
            </x14:dxf>
          </x14:cfRule>
          <xm:sqref>R11</xm:sqref>
        </x14:conditionalFormatting>
        <x14:conditionalFormatting xmlns:xm="http://schemas.microsoft.com/office/excel/2006/main">
          <x14:cfRule type="expression" priority="1976" id="{E7FE0A9C-C280-4AEF-B362-9F01BA3AA3FD}">
            <xm:f>VLOOKUP(R12,Calendars!$O$1:$U$398,MATCH($X$1,Calendars!$O$1:$U$1,0),FALSE)="Non Contract"</xm:f>
            <x14:dxf>
              <fill>
                <patternFill patternType="lightDown"/>
              </fill>
              <border>
                <bottom/>
              </border>
            </x14:dxf>
          </x14:cfRule>
          <x14:cfRule type="expression" priority="1985" id="{B7F6CEA5-512F-4565-9731-50DCADC31D4E}">
            <xm:f>VLOOKUP(R12,Calendars!$O$1:$U$398,MATCH($X$1,Calendars!$O$1:$U$1,0),FALSE)="Holiday"</xm:f>
            <x14:dxf>
              <fill>
                <patternFill>
                  <bgColor rgb="FFFF99FF"/>
                </patternFill>
              </fill>
              <border>
                <bottom/>
              </border>
            </x14:dxf>
          </x14:cfRule>
          <xm:sqref>R11</xm:sqref>
        </x14:conditionalFormatting>
        <x14:conditionalFormatting xmlns:xm="http://schemas.microsoft.com/office/excel/2006/main">
          <x14:cfRule type="expression" priority="1965" id="{8F05A401-0AD2-497A-8362-B0EF86CC9117}">
            <xm:f>AND(VLOOKUP(S12,Calendars!$O$1:$U$398,MATCH($X$1,Calendars!$O$1:$U$1,0),FALSE)="Non Contract",$C$5&gt;0)</xm:f>
            <x14:dxf>
              <fill>
                <patternFill patternType="solid">
                  <fgColor theme="4" tint="0.79998168889431442"/>
                  <bgColor theme="8" tint="0.79995117038483843"/>
                </patternFill>
              </fill>
            </x14:dxf>
          </x14:cfRule>
          <xm:sqref>S11:U11</xm:sqref>
        </x14:conditionalFormatting>
        <x14:conditionalFormatting xmlns:xm="http://schemas.microsoft.com/office/excel/2006/main">
          <x14:cfRule type="expression" priority="1975" id="{66331CC2-6C4B-494D-8857-D4842DEC6245}">
            <xm:f>AND(VLOOKUP(S12,Calendars!$O$1:$U$398,MATCH($X$1,Calendars!$O$1:$U$1,0),FALSE)="",S11=0)</xm:f>
            <x14:dxf>
              <fill>
                <patternFill>
                  <bgColor theme="7" tint="0.79998168889431442"/>
                </patternFill>
              </fill>
            </x14:dxf>
          </x14:cfRule>
          <xm:sqref>S11:U11</xm:sqref>
        </x14:conditionalFormatting>
        <x14:conditionalFormatting xmlns:xm="http://schemas.microsoft.com/office/excel/2006/main">
          <x14:cfRule type="expression" priority="1964" id="{A9FDA72D-E436-4A52-846F-415A3E729878}">
            <xm:f>VLOOKUP(S12,Calendars!$O$1:$U$398,MATCH($X$1,Calendars!$O$1:$U$1,0),FALSE)="Non Contract"</xm:f>
            <x14:dxf>
              <fill>
                <patternFill patternType="lightDown"/>
              </fill>
              <border>
                <bottom/>
              </border>
            </x14:dxf>
          </x14:cfRule>
          <x14:cfRule type="expression" priority="1973" id="{C0C0A499-E0C4-42DF-9CBD-000FAE6C7061}">
            <xm:f>VLOOKUP(S12,Calendars!$O$1:$U$398,MATCH($X$1,Calendars!$O$1:$U$1,0),FALSE)="Holiday"</xm:f>
            <x14:dxf>
              <fill>
                <patternFill>
                  <bgColor rgb="FFFF99FF"/>
                </patternFill>
              </fill>
              <border>
                <bottom/>
              </border>
            </x14:dxf>
          </x14:cfRule>
          <xm:sqref>S11:U11</xm:sqref>
        </x14:conditionalFormatting>
        <x14:conditionalFormatting xmlns:xm="http://schemas.microsoft.com/office/excel/2006/main">
          <x14:cfRule type="expression" priority="1953" id="{211EF82F-7AE7-4184-A4E9-D3F741488D8A}">
            <xm:f>AND(VLOOKUP(Q14,Calendars!$O$1:$U$398,MATCH($X$1,Calendars!$O$1:$U$1,0),FALSE)="Non Contract",$C$5&gt;0)</xm:f>
            <x14:dxf>
              <fill>
                <patternFill patternType="solid">
                  <fgColor theme="4" tint="0.79998168889431442"/>
                  <bgColor theme="8" tint="0.79995117038483843"/>
                </patternFill>
              </fill>
            </x14:dxf>
          </x14:cfRule>
          <xm:sqref>Q13</xm:sqref>
        </x14:conditionalFormatting>
        <x14:conditionalFormatting xmlns:xm="http://schemas.microsoft.com/office/excel/2006/main">
          <x14:cfRule type="expression" priority="1963" id="{EAF97890-282C-4802-BA53-02E63045BEF1}">
            <xm:f>AND(VLOOKUP(Q14,Calendars!$O$1:$U$398,MATCH($X$1,Calendars!$O$1:$U$1,0),FALSE)="",Q13=0)</xm:f>
            <x14:dxf>
              <fill>
                <patternFill>
                  <bgColor theme="7" tint="0.79998168889431442"/>
                </patternFill>
              </fill>
            </x14:dxf>
          </x14:cfRule>
          <xm:sqref>Q13</xm:sqref>
        </x14:conditionalFormatting>
        <x14:conditionalFormatting xmlns:xm="http://schemas.microsoft.com/office/excel/2006/main">
          <x14:cfRule type="expression" priority="1952" id="{552CB40A-FA6C-4A74-BE10-517D55D3D6D3}">
            <xm:f>VLOOKUP(Q14,Calendars!$O$1:$U$398,MATCH($X$1,Calendars!$O$1:$U$1,0),FALSE)="Non Contract"</xm:f>
            <x14:dxf>
              <fill>
                <patternFill patternType="lightDown"/>
              </fill>
              <border>
                <bottom/>
              </border>
            </x14:dxf>
          </x14:cfRule>
          <x14:cfRule type="expression" priority="1961" id="{E5DCC0B6-0803-4859-8891-C0BE53C2F011}">
            <xm:f>VLOOKUP(Q14,Calendars!$O$1:$U$398,MATCH($X$1,Calendars!$O$1:$U$1,0),FALSE)="Holiday"</xm:f>
            <x14:dxf>
              <fill>
                <patternFill>
                  <bgColor rgb="FFFF99FF"/>
                </patternFill>
              </fill>
              <border>
                <bottom/>
              </border>
            </x14:dxf>
          </x14:cfRule>
          <xm:sqref>Q13</xm:sqref>
        </x14:conditionalFormatting>
        <x14:conditionalFormatting xmlns:xm="http://schemas.microsoft.com/office/excel/2006/main">
          <x14:cfRule type="expression" priority="1941" id="{44E89D26-D23A-4286-9B74-98D4C4D8F318}">
            <xm:f>AND(VLOOKUP(R14,Calendars!$O$1:$U$398,MATCH($X$1,Calendars!$O$1:$U$1,0),FALSE)="Non Contract",$C$5&gt;0)</xm:f>
            <x14:dxf>
              <fill>
                <patternFill patternType="solid">
                  <fgColor theme="4" tint="0.79998168889431442"/>
                  <bgColor theme="8" tint="0.79995117038483843"/>
                </patternFill>
              </fill>
            </x14:dxf>
          </x14:cfRule>
          <xm:sqref>R13</xm:sqref>
        </x14:conditionalFormatting>
        <x14:conditionalFormatting xmlns:xm="http://schemas.microsoft.com/office/excel/2006/main">
          <x14:cfRule type="expression" priority="1951" id="{51339509-668E-40A9-81EC-F6453B3E1169}">
            <xm:f>AND(VLOOKUP(R14,Calendars!$O$1:$U$398,MATCH($X$1,Calendars!$O$1:$U$1,0),FALSE)="",R13=0)</xm:f>
            <x14:dxf>
              <fill>
                <patternFill>
                  <bgColor theme="7" tint="0.79998168889431442"/>
                </patternFill>
              </fill>
            </x14:dxf>
          </x14:cfRule>
          <xm:sqref>R13</xm:sqref>
        </x14:conditionalFormatting>
        <x14:conditionalFormatting xmlns:xm="http://schemas.microsoft.com/office/excel/2006/main">
          <x14:cfRule type="expression" priority="1940" id="{50219AA9-DB22-401C-87B6-5538E88A3D37}">
            <xm:f>VLOOKUP(R14,Calendars!$O$1:$U$398,MATCH($X$1,Calendars!$O$1:$U$1,0),FALSE)="Non Contract"</xm:f>
            <x14:dxf>
              <fill>
                <patternFill patternType="lightDown"/>
              </fill>
              <border>
                <bottom/>
              </border>
            </x14:dxf>
          </x14:cfRule>
          <x14:cfRule type="expression" priority="1949" id="{D23146A9-D444-4609-AB25-E878F92CC596}">
            <xm:f>VLOOKUP(R14,Calendars!$O$1:$U$398,MATCH($X$1,Calendars!$O$1:$U$1,0),FALSE)="Holiday"</xm:f>
            <x14:dxf>
              <fill>
                <patternFill>
                  <bgColor rgb="FFFF99FF"/>
                </patternFill>
              </fill>
              <border>
                <bottom/>
              </border>
            </x14:dxf>
          </x14:cfRule>
          <xm:sqref>R13</xm:sqref>
        </x14:conditionalFormatting>
        <x14:conditionalFormatting xmlns:xm="http://schemas.microsoft.com/office/excel/2006/main">
          <x14:cfRule type="expression" priority="1929" id="{AB926CB2-6643-4835-A7AC-5A312A490EE9}">
            <xm:f>AND(VLOOKUP(S14,Calendars!$O$1:$U$398,MATCH($X$1,Calendars!$O$1:$U$1,0),FALSE)="Non Contract",$C$5&gt;0)</xm:f>
            <x14:dxf>
              <fill>
                <patternFill patternType="solid">
                  <fgColor theme="4" tint="0.79998168889431442"/>
                  <bgColor theme="8" tint="0.79995117038483843"/>
                </patternFill>
              </fill>
            </x14:dxf>
          </x14:cfRule>
          <xm:sqref>S13:U13</xm:sqref>
        </x14:conditionalFormatting>
        <x14:conditionalFormatting xmlns:xm="http://schemas.microsoft.com/office/excel/2006/main">
          <x14:cfRule type="expression" priority="1939" id="{881C399B-1343-47F9-9ED3-70DACF5EC1D9}">
            <xm:f>AND(VLOOKUP(S14,Calendars!$O$1:$U$398,MATCH($X$1,Calendars!$O$1:$U$1,0),FALSE)="",S13=0)</xm:f>
            <x14:dxf>
              <fill>
                <patternFill>
                  <bgColor theme="7" tint="0.79998168889431442"/>
                </patternFill>
              </fill>
            </x14:dxf>
          </x14:cfRule>
          <xm:sqref>S13:U13</xm:sqref>
        </x14:conditionalFormatting>
        <x14:conditionalFormatting xmlns:xm="http://schemas.microsoft.com/office/excel/2006/main">
          <x14:cfRule type="expression" priority="1928" id="{F6B6CA3D-7271-4202-AAB8-2FA3796B9AE6}">
            <xm:f>VLOOKUP(S14,Calendars!$O$1:$U$398,MATCH($X$1,Calendars!$O$1:$U$1,0),FALSE)="Non Contract"</xm:f>
            <x14:dxf>
              <fill>
                <patternFill patternType="lightDown"/>
              </fill>
              <border>
                <bottom/>
              </border>
            </x14:dxf>
          </x14:cfRule>
          <x14:cfRule type="expression" priority="1937" id="{F93472D2-8266-4E77-BCD7-6BC1FAE61891}">
            <xm:f>VLOOKUP(S14,Calendars!$O$1:$U$398,MATCH($X$1,Calendars!$O$1:$U$1,0),FALSE)="Holiday"</xm:f>
            <x14:dxf>
              <fill>
                <patternFill>
                  <bgColor rgb="FFFF99FF"/>
                </patternFill>
              </fill>
              <border>
                <bottom/>
              </border>
            </x14:dxf>
          </x14:cfRule>
          <xm:sqref>S13:U13</xm:sqref>
        </x14:conditionalFormatting>
        <x14:conditionalFormatting xmlns:xm="http://schemas.microsoft.com/office/excel/2006/main">
          <x14:cfRule type="expression" priority="1917" id="{491722C2-45F1-41C1-AB34-287DF2DF0A10}">
            <xm:f>AND(VLOOKUP(X6,Calendars!$O$1:$U$398,MATCH($X$1,Calendars!$O$1:$U$1,0),FALSE)="Non Contract",$C$5&gt;0)</xm:f>
            <x14:dxf>
              <fill>
                <patternFill patternType="solid">
                  <fgColor theme="4" tint="0.79998168889431442"/>
                  <bgColor theme="8" tint="0.79995117038483843"/>
                </patternFill>
              </fill>
            </x14:dxf>
          </x14:cfRule>
          <xm:sqref>X5</xm:sqref>
        </x14:conditionalFormatting>
        <x14:conditionalFormatting xmlns:xm="http://schemas.microsoft.com/office/excel/2006/main">
          <x14:cfRule type="expression" priority="1927" id="{3308EB1D-119E-4AE7-93B2-B7D45C1E490E}">
            <xm:f>AND(VLOOKUP(X6,Calendars!$O$1:$U$398,MATCH($X$1,Calendars!$O$1:$U$1,0),FALSE)="",X5=0)</xm:f>
            <x14:dxf>
              <fill>
                <patternFill>
                  <bgColor theme="7" tint="0.79998168889431442"/>
                </patternFill>
              </fill>
            </x14:dxf>
          </x14:cfRule>
          <xm:sqref>X5</xm:sqref>
        </x14:conditionalFormatting>
        <x14:conditionalFormatting xmlns:xm="http://schemas.microsoft.com/office/excel/2006/main">
          <x14:cfRule type="expression" priority="1916" id="{2DEA2D23-6275-4B40-85A9-9E593E857C67}">
            <xm:f>VLOOKUP(X6,Calendars!$O$1:$U$398,MATCH($X$1,Calendars!$O$1:$U$1,0),FALSE)="Non Contract"</xm:f>
            <x14:dxf>
              <fill>
                <patternFill patternType="lightDown"/>
              </fill>
              <border>
                <bottom/>
              </border>
            </x14:dxf>
          </x14:cfRule>
          <x14:cfRule type="expression" priority="1925" id="{76F5EED4-6BD4-47E0-8A44-6D3F01F35A3B}">
            <xm:f>VLOOKUP(X6,Calendars!$O$1:$U$398,MATCH($X$1,Calendars!$O$1:$U$1,0),FALSE)="Holiday"</xm:f>
            <x14:dxf>
              <fill>
                <patternFill>
                  <bgColor rgb="FFFF99FF"/>
                </patternFill>
              </fill>
              <border>
                <bottom/>
              </border>
            </x14:dxf>
          </x14:cfRule>
          <xm:sqref>X5</xm:sqref>
        </x14:conditionalFormatting>
        <x14:conditionalFormatting xmlns:xm="http://schemas.microsoft.com/office/excel/2006/main">
          <x14:cfRule type="expression" priority="1905" id="{BD5C6F87-7744-4263-B2BB-8128BCF38294}">
            <xm:f>AND(VLOOKUP(Y6,Calendars!$O$1:$U$398,MATCH($X$1,Calendars!$O$1:$U$1,0),FALSE)="Non Contract",$C$5&gt;0)</xm:f>
            <x14:dxf>
              <fill>
                <patternFill patternType="solid">
                  <fgColor theme="4" tint="0.79998168889431442"/>
                  <bgColor theme="8" tint="0.79995117038483843"/>
                </patternFill>
              </fill>
            </x14:dxf>
          </x14:cfRule>
          <xm:sqref>Y5</xm:sqref>
        </x14:conditionalFormatting>
        <x14:conditionalFormatting xmlns:xm="http://schemas.microsoft.com/office/excel/2006/main">
          <x14:cfRule type="expression" priority="1915" id="{CB490605-7617-47AE-A698-403627B46E89}">
            <xm:f>AND(VLOOKUP(Y6,Calendars!$O$1:$U$398,MATCH($X$1,Calendars!$O$1:$U$1,0),FALSE)="",Y5=0)</xm:f>
            <x14:dxf>
              <fill>
                <patternFill>
                  <bgColor theme="7" tint="0.79998168889431442"/>
                </patternFill>
              </fill>
            </x14:dxf>
          </x14:cfRule>
          <xm:sqref>Y5</xm:sqref>
        </x14:conditionalFormatting>
        <x14:conditionalFormatting xmlns:xm="http://schemas.microsoft.com/office/excel/2006/main">
          <x14:cfRule type="expression" priority="1904" id="{5B24E9AB-B708-4399-8838-1E3D1BEFB0AF}">
            <xm:f>VLOOKUP(Y6,Calendars!$O$1:$U$398,MATCH($X$1,Calendars!$O$1:$U$1,0),FALSE)="Non Contract"</xm:f>
            <x14:dxf>
              <fill>
                <patternFill patternType="lightDown"/>
              </fill>
              <border>
                <bottom/>
              </border>
            </x14:dxf>
          </x14:cfRule>
          <x14:cfRule type="expression" priority="1913" id="{146454A4-BF2C-4125-872F-9649D90CFBD1}">
            <xm:f>VLOOKUP(Y6,Calendars!$O$1:$U$398,MATCH($X$1,Calendars!$O$1:$U$1,0),FALSE)="Holiday"</xm:f>
            <x14:dxf>
              <fill>
                <patternFill>
                  <bgColor rgb="FFFF99FF"/>
                </patternFill>
              </fill>
              <border>
                <bottom/>
              </border>
            </x14:dxf>
          </x14:cfRule>
          <xm:sqref>Y5</xm:sqref>
        </x14:conditionalFormatting>
        <x14:conditionalFormatting xmlns:xm="http://schemas.microsoft.com/office/excel/2006/main">
          <x14:cfRule type="expression" priority="1893" id="{C65EB2AB-EFFB-4E94-841B-720F00FE592B}">
            <xm:f>AND(VLOOKUP(Z6,Calendars!$O$1:$U$398,MATCH($X$1,Calendars!$O$1:$U$1,0),FALSE)="Non Contract",$C$5&gt;0)</xm:f>
            <x14:dxf>
              <fill>
                <patternFill patternType="solid">
                  <fgColor theme="4" tint="0.79998168889431442"/>
                  <bgColor theme="8" tint="0.79995117038483843"/>
                </patternFill>
              </fill>
            </x14:dxf>
          </x14:cfRule>
          <xm:sqref>Z5:AB5</xm:sqref>
        </x14:conditionalFormatting>
        <x14:conditionalFormatting xmlns:xm="http://schemas.microsoft.com/office/excel/2006/main">
          <x14:cfRule type="expression" priority="1903" id="{5E76356F-9669-4F94-B747-0062BD74A533}">
            <xm:f>AND(VLOOKUP(Z6,Calendars!$O$1:$U$398,MATCH($X$1,Calendars!$O$1:$U$1,0),FALSE)="",Z5=0)</xm:f>
            <x14:dxf>
              <fill>
                <patternFill>
                  <bgColor theme="7" tint="0.79998168889431442"/>
                </patternFill>
              </fill>
            </x14:dxf>
          </x14:cfRule>
          <xm:sqref>Z5:AB5</xm:sqref>
        </x14:conditionalFormatting>
        <x14:conditionalFormatting xmlns:xm="http://schemas.microsoft.com/office/excel/2006/main">
          <x14:cfRule type="expression" priority="1892" id="{74BFCF28-B8B3-46B6-93FF-277F4DFF1775}">
            <xm:f>VLOOKUP(Z6,Calendars!$O$1:$U$398,MATCH($X$1,Calendars!$O$1:$U$1,0),FALSE)="Non Contract"</xm:f>
            <x14:dxf>
              <fill>
                <patternFill patternType="lightDown"/>
              </fill>
              <border>
                <bottom/>
              </border>
            </x14:dxf>
          </x14:cfRule>
          <x14:cfRule type="expression" priority="1901" id="{DA91758E-0ED4-4939-890F-124BF32F20B9}">
            <xm:f>VLOOKUP(Z6,Calendars!$O$1:$U$398,MATCH($X$1,Calendars!$O$1:$U$1,0),FALSE)="Holiday"</xm:f>
            <x14:dxf>
              <fill>
                <patternFill>
                  <bgColor rgb="FFFF99FF"/>
                </patternFill>
              </fill>
              <border>
                <bottom/>
              </border>
            </x14:dxf>
          </x14:cfRule>
          <xm:sqref>Z5:AB5</xm:sqref>
        </x14:conditionalFormatting>
        <x14:conditionalFormatting xmlns:xm="http://schemas.microsoft.com/office/excel/2006/main">
          <x14:cfRule type="expression" priority="1881" id="{1D7C7332-10EC-474B-9C32-E71E23E4C650}">
            <xm:f>AND(VLOOKUP(X8,Calendars!$O$1:$U$398,MATCH($X$1,Calendars!$O$1:$U$1,0),FALSE)="Non Contract",$C$5&gt;0)</xm:f>
            <x14:dxf>
              <fill>
                <patternFill patternType="solid">
                  <fgColor theme="4" tint="0.79998168889431442"/>
                  <bgColor theme="8" tint="0.79995117038483843"/>
                </patternFill>
              </fill>
            </x14:dxf>
          </x14:cfRule>
          <xm:sqref>X7</xm:sqref>
        </x14:conditionalFormatting>
        <x14:conditionalFormatting xmlns:xm="http://schemas.microsoft.com/office/excel/2006/main">
          <x14:cfRule type="expression" priority="1891" id="{368CA8BE-A48D-417E-8C0C-88FE8C5A8B2E}">
            <xm:f>AND(VLOOKUP(X8,Calendars!$O$1:$U$398,MATCH($X$1,Calendars!$O$1:$U$1,0),FALSE)="",X7=0)</xm:f>
            <x14:dxf>
              <fill>
                <patternFill>
                  <bgColor theme="7" tint="0.79998168889431442"/>
                </patternFill>
              </fill>
            </x14:dxf>
          </x14:cfRule>
          <xm:sqref>X7</xm:sqref>
        </x14:conditionalFormatting>
        <x14:conditionalFormatting xmlns:xm="http://schemas.microsoft.com/office/excel/2006/main">
          <x14:cfRule type="expression" priority="1880" id="{987F6E13-BA0E-4D26-A142-5CE82C6B1FFD}">
            <xm:f>VLOOKUP(X8,Calendars!$O$1:$U$398,MATCH($X$1,Calendars!$O$1:$U$1,0),FALSE)="Non Contract"</xm:f>
            <x14:dxf>
              <fill>
                <patternFill patternType="lightDown"/>
              </fill>
              <border>
                <bottom/>
              </border>
            </x14:dxf>
          </x14:cfRule>
          <x14:cfRule type="expression" priority="1889" id="{D8C04E31-3326-4A21-8A6D-091184A52301}">
            <xm:f>VLOOKUP(X8,Calendars!$O$1:$U$398,MATCH($X$1,Calendars!$O$1:$U$1,0),FALSE)="Holiday"</xm:f>
            <x14:dxf>
              <fill>
                <patternFill>
                  <bgColor rgb="FFFF99FF"/>
                </patternFill>
              </fill>
              <border>
                <bottom/>
              </border>
            </x14:dxf>
          </x14:cfRule>
          <xm:sqref>X7</xm:sqref>
        </x14:conditionalFormatting>
        <x14:conditionalFormatting xmlns:xm="http://schemas.microsoft.com/office/excel/2006/main">
          <x14:cfRule type="expression" priority="1869" id="{6D25654A-30B6-432F-BCE8-C0CDA8779919}">
            <xm:f>AND(VLOOKUP(Y8,Calendars!$O$1:$U$398,MATCH($X$1,Calendars!$O$1:$U$1,0),FALSE)="Non Contract",$C$5&gt;0)</xm:f>
            <x14:dxf>
              <fill>
                <patternFill patternType="solid">
                  <fgColor theme="4" tint="0.79998168889431442"/>
                  <bgColor theme="8" tint="0.79995117038483843"/>
                </patternFill>
              </fill>
            </x14:dxf>
          </x14:cfRule>
          <xm:sqref>Y7</xm:sqref>
        </x14:conditionalFormatting>
        <x14:conditionalFormatting xmlns:xm="http://schemas.microsoft.com/office/excel/2006/main">
          <x14:cfRule type="expression" priority="1879" id="{2C7DA1B9-8194-443D-BDCD-4A333D0053A0}">
            <xm:f>AND(VLOOKUP(Y8,Calendars!$O$1:$U$398,MATCH($X$1,Calendars!$O$1:$U$1,0),FALSE)="",Y7=0)</xm:f>
            <x14:dxf>
              <fill>
                <patternFill>
                  <bgColor theme="7" tint="0.79998168889431442"/>
                </patternFill>
              </fill>
            </x14:dxf>
          </x14:cfRule>
          <xm:sqref>Y7</xm:sqref>
        </x14:conditionalFormatting>
        <x14:conditionalFormatting xmlns:xm="http://schemas.microsoft.com/office/excel/2006/main">
          <x14:cfRule type="expression" priority="1868" id="{3849E33E-D035-4676-AA7B-41B490F54160}">
            <xm:f>VLOOKUP(Y8,Calendars!$O$1:$U$398,MATCH($X$1,Calendars!$O$1:$U$1,0),FALSE)="Non Contract"</xm:f>
            <x14:dxf>
              <fill>
                <patternFill patternType="lightDown"/>
              </fill>
              <border>
                <bottom/>
              </border>
            </x14:dxf>
          </x14:cfRule>
          <x14:cfRule type="expression" priority="1877" id="{F9F2D0CE-8DCD-4E73-A402-741441588F55}">
            <xm:f>VLOOKUP(Y8,Calendars!$O$1:$U$398,MATCH($X$1,Calendars!$O$1:$U$1,0),FALSE)="Holiday"</xm:f>
            <x14:dxf>
              <fill>
                <patternFill>
                  <bgColor rgb="FFFF99FF"/>
                </patternFill>
              </fill>
              <border>
                <bottom/>
              </border>
            </x14:dxf>
          </x14:cfRule>
          <xm:sqref>Y7</xm:sqref>
        </x14:conditionalFormatting>
        <x14:conditionalFormatting xmlns:xm="http://schemas.microsoft.com/office/excel/2006/main">
          <x14:cfRule type="expression" priority="1857" id="{26820028-CE1E-4E65-B33B-1382B20143B4}">
            <xm:f>AND(VLOOKUP(Z8,Calendars!$O$1:$U$398,MATCH($X$1,Calendars!$O$1:$U$1,0),FALSE)="Non Contract",$C$5&gt;0)</xm:f>
            <x14:dxf>
              <fill>
                <patternFill patternType="solid">
                  <fgColor theme="4" tint="0.79998168889431442"/>
                  <bgColor theme="8" tint="0.79995117038483843"/>
                </patternFill>
              </fill>
            </x14:dxf>
          </x14:cfRule>
          <xm:sqref>Z7:AB7</xm:sqref>
        </x14:conditionalFormatting>
        <x14:conditionalFormatting xmlns:xm="http://schemas.microsoft.com/office/excel/2006/main">
          <x14:cfRule type="expression" priority="1867" id="{FC6DF8BB-4E3D-40C5-B937-1EE3231C6E52}">
            <xm:f>AND(VLOOKUP(Z8,Calendars!$O$1:$U$398,MATCH($X$1,Calendars!$O$1:$U$1,0),FALSE)="",Z7=0)</xm:f>
            <x14:dxf>
              <fill>
                <patternFill>
                  <bgColor theme="7" tint="0.79998168889431442"/>
                </patternFill>
              </fill>
            </x14:dxf>
          </x14:cfRule>
          <xm:sqref>Z7:AB7</xm:sqref>
        </x14:conditionalFormatting>
        <x14:conditionalFormatting xmlns:xm="http://schemas.microsoft.com/office/excel/2006/main">
          <x14:cfRule type="expression" priority="1856" id="{14CF1F31-B6E4-4BF0-918E-13D8897F18ED}">
            <xm:f>VLOOKUP(Z8,Calendars!$O$1:$U$398,MATCH($X$1,Calendars!$O$1:$U$1,0),FALSE)="Non Contract"</xm:f>
            <x14:dxf>
              <fill>
                <patternFill patternType="lightDown"/>
              </fill>
              <border>
                <bottom/>
              </border>
            </x14:dxf>
          </x14:cfRule>
          <x14:cfRule type="expression" priority="1865" id="{597BE009-1D55-47CF-8801-F4A9315CFC66}">
            <xm:f>VLOOKUP(Z8,Calendars!$O$1:$U$398,MATCH($X$1,Calendars!$O$1:$U$1,0),FALSE)="Holiday"</xm:f>
            <x14:dxf>
              <fill>
                <patternFill>
                  <bgColor rgb="FFFF99FF"/>
                </patternFill>
              </fill>
              <border>
                <bottom/>
              </border>
            </x14:dxf>
          </x14:cfRule>
          <xm:sqref>Z7:AB7</xm:sqref>
        </x14:conditionalFormatting>
        <x14:conditionalFormatting xmlns:xm="http://schemas.microsoft.com/office/excel/2006/main">
          <x14:cfRule type="expression" priority="1845" id="{3B1E9932-B8FD-419D-9C0D-60A740CAC531}">
            <xm:f>AND(VLOOKUP(X10,Calendars!$O$1:$U$398,MATCH($X$1,Calendars!$O$1:$U$1,0),FALSE)="Non Contract",$C$5&gt;0)</xm:f>
            <x14:dxf>
              <fill>
                <patternFill patternType="solid">
                  <fgColor theme="4" tint="0.79998168889431442"/>
                  <bgColor theme="8" tint="0.79995117038483843"/>
                </patternFill>
              </fill>
            </x14:dxf>
          </x14:cfRule>
          <xm:sqref>X9</xm:sqref>
        </x14:conditionalFormatting>
        <x14:conditionalFormatting xmlns:xm="http://schemas.microsoft.com/office/excel/2006/main">
          <x14:cfRule type="expression" priority="1855" id="{A540F281-7B3C-4FC5-B02D-92B1C4ED9F46}">
            <xm:f>AND(VLOOKUP(X10,Calendars!$O$1:$U$398,MATCH($X$1,Calendars!$O$1:$U$1,0),FALSE)="",X9=0)</xm:f>
            <x14:dxf>
              <fill>
                <patternFill>
                  <bgColor theme="7" tint="0.79998168889431442"/>
                </patternFill>
              </fill>
            </x14:dxf>
          </x14:cfRule>
          <xm:sqref>X9</xm:sqref>
        </x14:conditionalFormatting>
        <x14:conditionalFormatting xmlns:xm="http://schemas.microsoft.com/office/excel/2006/main">
          <x14:cfRule type="expression" priority="1844" id="{AA13A20E-B20A-4FC3-A03B-B3EEFDBE1F77}">
            <xm:f>VLOOKUP(X10,Calendars!$O$1:$U$398,MATCH($X$1,Calendars!$O$1:$U$1,0),FALSE)="Non Contract"</xm:f>
            <x14:dxf>
              <fill>
                <patternFill patternType="lightDown"/>
              </fill>
              <border>
                <bottom/>
              </border>
            </x14:dxf>
          </x14:cfRule>
          <x14:cfRule type="expression" priority="1853" id="{01B0ADB3-0BD9-4FF0-8F6F-E68A3B1B884F}">
            <xm:f>VLOOKUP(X10,Calendars!$O$1:$U$398,MATCH($X$1,Calendars!$O$1:$U$1,0),FALSE)="Holiday"</xm:f>
            <x14:dxf>
              <fill>
                <patternFill>
                  <bgColor rgb="FFFF99FF"/>
                </patternFill>
              </fill>
              <border>
                <bottom/>
              </border>
            </x14:dxf>
          </x14:cfRule>
          <xm:sqref>X9</xm:sqref>
        </x14:conditionalFormatting>
        <x14:conditionalFormatting xmlns:xm="http://schemas.microsoft.com/office/excel/2006/main">
          <x14:cfRule type="expression" priority="1833" id="{12B8B223-34B8-4CD1-82E9-1F707B6C01EB}">
            <xm:f>AND(VLOOKUP(Y10,Calendars!$O$1:$U$398,MATCH($X$1,Calendars!$O$1:$U$1,0),FALSE)="Non Contract",$C$5&gt;0)</xm:f>
            <x14:dxf>
              <fill>
                <patternFill patternType="solid">
                  <fgColor theme="4" tint="0.79998168889431442"/>
                  <bgColor theme="8" tint="0.79995117038483843"/>
                </patternFill>
              </fill>
            </x14:dxf>
          </x14:cfRule>
          <xm:sqref>Y9</xm:sqref>
        </x14:conditionalFormatting>
        <x14:conditionalFormatting xmlns:xm="http://schemas.microsoft.com/office/excel/2006/main">
          <x14:cfRule type="expression" priority="1843" id="{477D13EA-D338-4621-BE74-53D2A5C3BD42}">
            <xm:f>AND(VLOOKUP(Y10,Calendars!$O$1:$U$398,MATCH($X$1,Calendars!$O$1:$U$1,0),FALSE)="",Y9=0)</xm:f>
            <x14:dxf>
              <fill>
                <patternFill>
                  <bgColor theme="7" tint="0.79998168889431442"/>
                </patternFill>
              </fill>
            </x14:dxf>
          </x14:cfRule>
          <xm:sqref>Y9</xm:sqref>
        </x14:conditionalFormatting>
        <x14:conditionalFormatting xmlns:xm="http://schemas.microsoft.com/office/excel/2006/main">
          <x14:cfRule type="expression" priority="1832" id="{614C7F54-10F3-4172-B806-1B3C0DDBF810}">
            <xm:f>VLOOKUP(Y10,Calendars!$O$1:$U$398,MATCH($X$1,Calendars!$O$1:$U$1,0),FALSE)="Non Contract"</xm:f>
            <x14:dxf>
              <fill>
                <patternFill patternType="lightDown"/>
              </fill>
              <border>
                <bottom/>
              </border>
            </x14:dxf>
          </x14:cfRule>
          <x14:cfRule type="expression" priority="1841" id="{6D502616-1CE8-48EF-BF67-A2E08BA910AA}">
            <xm:f>VLOOKUP(Y10,Calendars!$O$1:$U$398,MATCH($X$1,Calendars!$O$1:$U$1,0),FALSE)="Holiday"</xm:f>
            <x14:dxf>
              <fill>
                <patternFill>
                  <bgColor rgb="FFFF99FF"/>
                </patternFill>
              </fill>
              <border>
                <bottom/>
              </border>
            </x14:dxf>
          </x14:cfRule>
          <xm:sqref>Y9</xm:sqref>
        </x14:conditionalFormatting>
        <x14:conditionalFormatting xmlns:xm="http://schemas.microsoft.com/office/excel/2006/main">
          <x14:cfRule type="expression" priority="1821" id="{90B8211A-ABD3-4EAE-B9FD-050A5971BA6B}">
            <xm:f>AND(VLOOKUP(Z10,Calendars!$O$1:$U$398,MATCH($X$1,Calendars!$O$1:$U$1,0),FALSE)="Non Contract",$C$5&gt;0)</xm:f>
            <x14:dxf>
              <fill>
                <patternFill patternType="solid">
                  <fgColor theme="4" tint="0.79998168889431442"/>
                  <bgColor theme="8" tint="0.79995117038483843"/>
                </patternFill>
              </fill>
            </x14:dxf>
          </x14:cfRule>
          <xm:sqref>Z9:AB9</xm:sqref>
        </x14:conditionalFormatting>
        <x14:conditionalFormatting xmlns:xm="http://schemas.microsoft.com/office/excel/2006/main">
          <x14:cfRule type="expression" priority="1831" id="{6098B252-988C-48D6-9ACE-B026A9F10131}">
            <xm:f>AND(VLOOKUP(Z10,Calendars!$O$1:$U$398,MATCH($X$1,Calendars!$O$1:$U$1,0),FALSE)="",Z9=0)</xm:f>
            <x14:dxf>
              <fill>
                <patternFill>
                  <bgColor theme="7" tint="0.79998168889431442"/>
                </patternFill>
              </fill>
            </x14:dxf>
          </x14:cfRule>
          <xm:sqref>Z9:AB9</xm:sqref>
        </x14:conditionalFormatting>
        <x14:conditionalFormatting xmlns:xm="http://schemas.microsoft.com/office/excel/2006/main">
          <x14:cfRule type="expression" priority="1820" id="{6FC5CC20-3A3F-4334-9552-0A0F77D8E472}">
            <xm:f>VLOOKUP(Z10,Calendars!$O$1:$U$398,MATCH($X$1,Calendars!$O$1:$U$1,0),FALSE)="Non Contract"</xm:f>
            <x14:dxf>
              <fill>
                <patternFill patternType="lightDown"/>
              </fill>
              <border>
                <bottom/>
              </border>
            </x14:dxf>
          </x14:cfRule>
          <x14:cfRule type="expression" priority="1829" id="{77D64177-A513-4410-9B7B-6149A4411F5C}">
            <xm:f>VLOOKUP(Z10,Calendars!$O$1:$U$398,MATCH($X$1,Calendars!$O$1:$U$1,0),FALSE)="Holiday"</xm:f>
            <x14:dxf>
              <fill>
                <patternFill>
                  <bgColor rgb="FFFF99FF"/>
                </patternFill>
              </fill>
              <border>
                <bottom/>
              </border>
            </x14:dxf>
          </x14:cfRule>
          <xm:sqref>Z9:AB9</xm:sqref>
        </x14:conditionalFormatting>
        <x14:conditionalFormatting xmlns:xm="http://schemas.microsoft.com/office/excel/2006/main">
          <x14:cfRule type="expression" priority="1809" id="{A445E05C-8214-466B-B926-F73E83F4BAA0}">
            <xm:f>AND(VLOOKUP(X12,Calendars!$O$1:$U$398,MATCH($X$1,Calendars!$O$1:$U$1,0),FALSE)="Non Contract",$C$5&gt;0)</xm:f>
            <x14:dxf>
              <fill>
                <patternFill patternType="solid">
                  <fgColor theme="4" tint="0.79998168889431442"/>
                  <bgColor theme="8" tint="0.79995117038483843"/>
                </patternFill>
              </fill>
            </x14:dxf>
          </x14:cfRule>
          <xm:sqref>X11</xm:sqref>
        </x14:conditionalFormatting>
        <x14:conditionalFormatting xmlns:xm="http://schemas.microsoft.com/office/excel/2006/main">
          <x14:cfRule type="expression" priority="1819" id="{8B222546-2154-4051-90BC-F247B4759E85}">
            <xm:f>AND(VLOOKUP(X12,Calendars!$O$1:$U$398,MATCH($X$1,Calendars!$O$1:$U$1,0),FALSE)="",X11=0)</xm:f>
            <x14:dxf>
              <fill>
                <patternFill>
                  <bgColor theme="7" tint="0.79998168889431442"/>
                </patternFill>
              </fill>
            </x14:dxf>
          </x14:cfRule>
          <xm:sqref>X11</xm:sqref>
        </x14:conditionalFormatting>
        <x14:conditionalFormatting xmlns:xm="http://schemas.microsoft.com/office/excel/2006/main">
          <x14:cfRule type="expression" priority="1808" id="{1CCC9B8A-91C6-46F0-BB9D-A05755262E49}">
            <xm:f>VLOOKUP(X12,Calendars!$O$1:$U$398,MATCH($X$1,Calendars!$O$1:$U$1,0),FALSE)="Non Contract"</xm:f>
            <x14:dxf>
              <fill>
                <patternFill patternType="lightDown"/>
              </fill>
              <border>
                <bottom/>
              </border>
            </x14:dxf>
          </x14:cfRule>
          <x14:cfRule type="expression" priority="1817" id="{4BE198E9-4499-49C8-A25B-31B23D197F64}">
            <xm:f>VLOOKUP(X12,Calendars!$O$1:$U$398,MATCH($X$1,Calendars!$O$1:$U$1,0),FALSE)="Holiday"</xm:f>
            <x14:dxf>
              <fill>
                <patternFill>
                  <bgColor rgb="FFFF99FF"/>
                </patternFill>
              </fill>
              <border>
                <bottom/>
              </border>
            </x14:dxf>
          </x14:cfRule>
          <xm:sqref>X11</xm:sqref>
        </x14:conditionalFormatting>
        <x14:conditionalFormatting xmlns:xm="http://schemas.microsoft.com/office/excel/2006/main">
          <x14:cfRule type="expression" priority="1797" id="{287C6C12-7DDC-4C13-AC92-71E91B1645D7}">
            <xm:f>AND(VLOOKUP(Y12,Calendars!$O$1:$U$398,MATCH($X$1,Calendars!$O$1:$U$1,0),FALSE)="Non Contract",$C$5&gt;0)</xm:f>
            <x14:dxf>
              <fill>
                <patternFill patternType="solid">
                  <fgColor theme="4" tint="0.79998168889431442"/>
                  <bgColor theme="8" tint="0.79995117038483843"/>
                </patternFill>
              </fill>
            </x14:dxf>
          </x14:cfRule>
          <xm:sqref>Y11</xm:sqref>
        </x14:conditionalFormatting>
        <x14:conditionalFormatting xmlns:xm="http://schemas.microsoft.com/office/excel/2006/main">
          <x14:cfRule type="expression" priority="1807" id="{BA940559-7A3A-488C-95AE-B05B1ABDD962}">
            <xm:f>AND(VLOOKUP(Y12,Calendars!$O$1:$U$398,MATCH($X$1,Calendars!$O$1:$U$1,0),FALSE)="",Y11=0)</xm:f>
            <x14:dxf>
              <fill>
                <patternFill>
                  <bgColor theme="7" tint="0.79998168889431442"/>
                </patternFill>
              </fill>
            </x14:dxf>
          </x14:cfRule>
          <xm:sqref>Y11</xm:sqref>
        </x14:conditionalFormatting>
        <x14:conditionalFormatting xmlns:xm="http://schemas.microsoft.com/office/excel/2006/main">
          <x14:cfRule type="expression" priority="1796" id="{6B1991C6-0673-47FD-A364-9319A9C50EEF}">
            <xm:f>VLOOKUP(Y12,Calendars!$O$1:$U$398,MATCH($X$1,Calendars!$O$1:$U$1,0),FALSE)="Non Contract"</xm:f>
            <x14:dxf>
              <fill>
                <patternFill patternType="lightDown"/>
              </fill>
              <border>
                <bottom/>
              </border>
            </x14:dxf>
          </x14:cfRule>
          <x14:cfRule type="expression" priority="1805" id="{584B5AC2-5A42-4468-9A41-027E1BFC4FE7}">
            <xm:f>VLOOKUP(Y12,Calendars!$O$1:$U$398,MATCH($X$1,Calendars!$O$1:$U$1,0),FALSE)="Holiday"</xm:f>
            <x14:dxf>
              <fill>
                <patternFill>
                  <bgColor rgb="FFFF99FF"/>
                </patternFill>
              </fill>
              <border>
                <bottom/>
              </border>
            </x14:dxf>
          </x14:cfRule>
          <xm:sqref>Y11</xm:sqref>
        </x14:conditionalFormatting>
        <x14:conditionalFormatting xmlns:xm="http://schemas.microsoft.com/office/excel/2006/main">
          <x14:cfRule type="expression" priority="1785" id="{1DEFBAD5-77D3-4613-859A-C571D05865F5}">
            <xm:f>AND(VLOOKUP(Z12,Calendars!$O$1:$U$398,MATCH($X$1,Calendars!$O$1:$U$1,0),FALSE)="Non Contract",$C$5&gt;0)</xm:f>
            <x14:dxf>
              <fill>
                <patternFill patternType="solid">
                  <fgColor theme="4" tint="0.79998168889431442"/>
                  <bgColor theme="8" tint="0.79995117038483843"/>
                </patternFill>
              </fill>
            </x14:dxf>
          </x14:cfRule>
          <xm:sqref>Z11:AB11</xm:sqref>
        </x14:conditionalFormatting>
        <x14:conditionalFormatting xmlns:xm="http://schemas.microsoft.com/office/excel/2006/main">
          <x14:cfRule type="expression" priority="1795" id="{6EBDF5DA-C572-49B1-81E5-0226E70E554E}">
            <xm:f>AND(VLOOKUP(Z12,Calendars!$O$1:$U$398,MATCH($X$1,Calendars!$O$1:$U$1,0),FALSE)="",Z11=0)</xm:f>
            <x14:dxf>
              <fill>
                <patternFill>
                  <bgColor theme="7" tint="0.79998168889431442"/>
                </patternFill>
              </fill>
            </x14:dxf>
          </x14:cfRule>
          <xm:sqref>Z11:AB11</xm:sqref>
        </x14:conditionalFormatting>
        <x14:conditionalFormatting xmlns:xm="http://schemas.microsoft.com/office/excel/2006/main">
          <x14:cfRule type="expression" priority="1784" id="{90CE61CC-9EB7-4F4A-8FFF-A593B250ADC5}">
            <xm:f>VLOOKUP(Z12,Calendars!$O$1:$U$398,MATCH($X$1,Calendars!$O$1:$U$1,0),FALSE)="Non Contract"</xm:f>
            <x14:dxf>
              <fill>
                <patternFill patternType="lightDown"/>
              </fill>
              <border>
                <bottom/>
              </border>
            </x14:dxf>
          </x14:cfRule>
          <x14:cfRule type="expression" priority="1793" id="{154719BE-31B6-495F-8469-2DB4E075F5E8}">
            <xm:f>VLOOKUP(Z12,Calendars!$O$1:$U$398,MATCH($X$1,Calendars!$O$1:$U$1,0),FALSE)="Holiday"</xm:f>
            <x14:dxf>
              <fill>
                <patternFill>
                  <bgColor rgb="FFFF99FF"/>
                </patternFill>
              </fill>
              <border>
                <bottom/>
              </border>
            </x14:dxf>
          </x14:cfRule>
          <xm:sqref>Z11:AB11</xm:sqref>
        </x14:conditionalFormatting>
        <x14:conditionalFormatting xmlns:xm="http://schemas.microsoft.com/office/excel/2006/main">
          <x14:cfRule type="expression" priority="1773" id="{4B439CD0-DCFA-44B2-8C1E-5A84A18CD70F}">
            <xm:f>AND(VLOOKUP(X14,Calendars!$O$1:$U$398,MATCH($X$1,Calendars!$O$1:$U$1,0),FALSE)="Non Contract",$C$5&gt;0)</xm:f>
            <x14:dxf>
              <fill>
                <patternFill patternType="solid">
                  <fgColor theme="4" tint="0.79998168889431442"/>
                  <bgColor theme="8" tint="0.79995117038483843"/>
                </patternFill>
              </fill>
            </x14:dxf>
          </x14:cfRule>
          <xm:sqref>X13</xm:sqref>
        </x14:conditionalFormatting>
        <x14:conditionalFormatting xmlns:xm="http://schemas.microsoft.com/office/excel/2006/main">
          <x14:cfRule type="expression" priority="1783" id="{2F045852-F8D2-4C8F-A3E0-7825688D2A21}">
            <xm:f>AND(VLOOKUP(X14,Calendars!$O$1:$U$398,MATCH($X$1,Calendars!$O$1:$U$1,0),FALSE)="",X13=0)</xm:f>
            <x14:dxf>
              <fill>
                <patternFill>
                  <bgColor theme="7" tint="0.79998168889431442"/>
                </patternFill>
              </fill>
            </x14:dxf>
          </x14:cfRule>
          <xm:sqref>X13</xm:sqref>
        </x14:conditionalFormatting>
        <x14:conditionalFormatting xmlns:xm="http://schemas.microsoft.com/office/excel/2006/main">
          <x14:cfRule type="expression" priority="1772" id="{4C5893EE-145C-40F1-B94B-9601C5D309D8}">
            <xm:f>VLOOKUP(X14,Calendars!$O$1:$U$398,MATCH($X$1,Calendars!$O$1:$U$1,0),FALSE)="Non Contract"</xm:f>
            <x14:dxf>
              <fill>
                <patternFill patternType="lightDown"/>
              </fill>
              <border>
                <bottom/>
              </border>
            </x14:dxf>
          </x14:cfRule>
          <x14:cfRule type="expression" priority="1781" id="{48F1F66A-87D9-4D0F-91FE-21CB34D517FF}">
            <xm:f>VLOOKUP(X14,Calendars!$O$1:$U$398,MATCH($X$1,Calendars!$O$1:$U$1,0),FALSE)="Holiday"</xm:f>
            <x14:dxf>
              <fill>
                <patternFill>
                  <bgColor rgb="FFFF99FF"/>
                </patternFill>
              </fill>
              <border>
                <bottom/>
              </border>
            </x14:dxf>
          </x14:cfRule>
          <xm:sqref>X13</xm:sqref>
        </x14:conditionalFormatting>
        <x14:conditionalFormatting xmlns:xm="http://schemas.microsoft.com/office/excel/2006/main">
          <x14:cfRule type="expression" priority="1761" id="{D4E7A746-7586-4BEB-9244-62CEB8719E59}">
            <xm:f>AND(VLOOKUP(Y14,Calendars!$O$1:$U$398,MATCH($X$1,Calendars!$O$1:$U$1,0),FALSE)="Non Contract",$C$5&gt;0)</xm:f>
            <x14:dxf>
              <fill>
                <patternFill patternType="solid">
                  <fgColor theme="4" tint="0.79998168889431442"/>
                  <bgColor theme="8" tint="0.79995117038483843"/>
                </patternFill>
              </fill>
            </x14:dxf>
          </x14:cfRule>
          <xm:sqref>Y13</xm:sqref>
        </x14:conditionalFormatting>
        <x14:conditionalFormatting xmlns:xm="http://schemas.microsoft.com/office/excel/2006/main">
          <x14:cfRule type="expression" priority="1771" id="{71A0C577-21F3-4C13-84D3-F3A2CA9AFAD4}">
            <xm:f>AND(VLOOKUP(Y14,Calendars!$O$1:$U$398,MATCH($X$1,Calendars!$O$1:$U$1,0),FALSE)="",Y13=0)</xm:f>
            <x14:dxf>
              <fill>
                <patternFill>
                  <bgColor theme="7" tint="0.79998168889431442"/>
                </patternFill>
              </fill>
            </x14:dxf>
          </x14:cfRule>
          <xm:sqref>Y13</xm:sqref>
        </x14:conditionalFormatting>
        <x14:conditionalFormatting xmlns:xm="http://schemas.microsoft.com/office/excel/2006/main">
          <x14:cfRule type="expression" priority="1760" id="{FEEB694F-68F0-47A9-A8A5-64ADBE9AFDD8}">
            <xm:f>VLOOKUP(Y14,Calendars!$O$1:$U$398,MATCH($X$1,Calendars!$O$1:$U$1,0),FALSE)="Non Contract"</xm:f>
            <x14:dxf>
              <fill>
                <patternFill patternType="lightDown"/>
              </fill>
              <border>
                <bottom/>
              </border>
            </x14:dxf>
          </x14:cfRule>
          <x14:cfRule type="expression" priority="1769" id="{73EA1339-CC88-4EDC-9204-EB0AAB63EFF8}">
            <xm:f>VLOOKUP(Y14,Calendars!$O$1:$U$398,MATCH($X$1,Calendars!$O$1:$U$1,0),FALSE)="Holiday"</xm:f>
            <x14:dxf>
              <fill>
                <patternFill>
                  <bgColor rgb="FFFF99FF"/>
                </patternFill>
              </fill>
              <border>
                <bottom/>
              </border>
            </x14:dxf>
          </x14:cfRule>
          <xm:sqref>Y13</xm:sqref>
        </x14:conditionalFormatting>
        <x14:conditionalFormatting xmlns:xm="http://schemas.microsoft.com/office/excel/2006/main">
          <x14:cfRule type="expression" priority="1749" id="{7384517A-F1F5-4FCF-9496-621E914B7D12}">
            <xm:f>AND(VLOOKUP(Z14,Calendars!$O$1:$U$398,MATCH($X$1,Calendars!$O$1:$U$1,0),FALSE)="Non Contract",$C$5&gt;0)</xm:f>
            <x14:dxf>
              <fill>
                <patternFill patternType="solid">
                  <fgColor theme="4" tint="0.79998168889431442"/>
                  <bgColor theme="8" tint="0.79995117038483843"/>
                </patternFill>
              </fill>
            </x14:dxf>
          </x14:cfRule>
          <xm:sqref>Z13:AB13</xm:sqref>
        </x14:conditionalFormatting>
        <x14:conditionalFormatting xmlns:xm="http://schemas.microsoft.com/office/excel/2006/main">
          <x14:cfRule type="expression" priority="1759" id="{84C3BF35-8B99-4DCC-8D82-717F69706D89}">
            <xm:f>AND(VLOOKUP(Z14,Calendars!$O$1:$U$398,MATCH($X$1,Calendars!$O$1:$U$1,0),FALSE)="",Z13=0)</xm:f>
            <x14:dxf>
              <fill>
                <patternFill>
                  <bgColor theme="7" tint="0.79998168889431442"/>
                </patternFill>
              </fill>
            </x14:dxf>
          </x14:cfRule>
          <xm:sqref>Z13:AB13</xm:sqref>
        </x14:conditionalFormatting>
        <x14:conditionalFormatting xmlns:xm="http://schemas.microsoft.com/office/excel/2006/main">
          <x14:cfRule type="expression" priority="1748" id="{DF7E20D6-32FD-42B9-BFFE-C9AFC4D741CB}">
            <xm:f>VLOOKUP(Z14,Calendars!$O$1:$U$398,MATCH($X$1,Calendars!$O$1:$U$1,0),FALSE)="Non Contract"</xm:f>
            <x14:dxf>
              <fill>
                <patternFill patternType="lightDown"/>
              </fill>
              <border>
                <bottom/>
              </border>
            </x14:dxf>
          </x14:cfRule>
          <x14:cfRule type="expression" priority="1757" id="{CA5546E9-4297-455E-9D59-862600D155E3}">
            <xm:f>VLOOKUP(Z14,Calendars!$O$1:$U$398,MATCH($X$1,Calendars!$O$1:$U$1,0),FALSE)="Holiday"</xm:f>
            <x14:dxf>
              <fill>
                <patternFill>
                  <bgColor rgb="FFFF99FF"/>
                </patternFill>
              </fill>
              <border>
                <bottom/>
              </border>
            </x14:dxf>
          </x14:cfRule>
          <xm:sqref>Z13:AB13</xm:sqref>
        </x14:conditionalFormatting>
        <x14:conditionalFormatting xmlns:xm="http://schemas.microsoft.com/office/excel/2006/main">
          <x14:cfRule type="expression" priority="1737" id="{12683B4A-2C92-45B0-A114-DDD481F34CBA}">
            <xm:f>AND(VLOOKUP(C17,Calendars!$O$1:$U$398,MATCH($X$1,Calendars!$O$1:$U$1,0),FALSE)="Non Contract",$C$5&gt;0)</xm:f>
            <x14:dxf>
              <fill>
                <patternFill patternType="solid">
                  <fgColor theme="4" tint="0.79998168889431442"/>
                  <bgColor theme="8" tint="0.79995117038483843"/>
                </patternFill>
              </fill>
            </x14:dxf>
          </x14:cfRule>
          <xm:sqref>C16</xm:sqref>
        </x14:conditionalFormatting>
        <x14:conditionalFormatting xmlns:xm="http://schemas.microsoft.com/office/excel/2006/main">
          <x14:cfRule type="expression" priority="1747" id="{9802BAD9-9354-4D3C-9BF1-C8F79CF91501}">
            <xm:f>AND(VLOOKUP(C17,Calendars!$O$1:$U$398,MATCH($X$1,Calendars!$O$1:$U$1,0),FALSE)="",C16=0)</xm:f>
            <x14:dxf>
              <fill>
                <patternFill>
                  <bgColor theme="7" tint="0.79998168889431442"/>
                </patternFill>
              </fill>
            </x14:dxf>
          </x14:cfRule>
          <xm:sqref>C16</xm:sqref>
        </x14:conditionalFormatting>
        <x14:conditionalFormatting xmlns:xm="http://schemas.microsoft.com/office/excel/2006/main">
          <x14:cfRule type="expression" priority="1736" id="{DB236A95-E3AA-44DB-8CD6-4DCD48BE6A81}">
            <xm:f>VLOOKUP(C17,Calendars!$O$1:$U$398,MATCH($X$1,Calendars!$O$1:$U$1,0),FALSE)="Non Contract"</xm:f>
            <x14:dxf>
              <fill>
                <patternFill patternType="lightDown"/>
              </fill>
              <border>
                <bottom/>
              </border>
            </x14:dxf>
          </x14:cfRule>
          <x14:cfRule type="expression" priority="1745" id="{B0C771EC-AC30-4A94-8545-F133423ED360}">
            <xm:f>VLOOKUP(C17,Calendars!$O$1:$U$398,MATCH($X$1,Calendars!$O$1:$U$1,0),FALSE)="Holiday"</xm:f>
            <x14:dxf>
              <fill>
                <patternFill>
                  <bgColor rgb="FFFF99FF"/>
                </patternFill>
              </fill>
              <border>
                <bottom/>
              </border>
            </x14:dxf>
          </x14:cfRule>
          <xm:sqref>C16</xm:sqref>
        </x14:conditionalFormatting>
        <x14:conditionalFormatting xmlns:xm="http://schemas.microsoft.com/office/excel/2006/main">
          <x14:cfRule type="expression" priority="1725" id="{A1D46D38-DECA-4CDC-A605-B2F652FC0694}">
            <xm:f>AND(VLOOKUP(D17,Calendars!$O$1:$U$398,MATCH($X$1,Calendars!$O$1:$U$1,0),FALSE)="Non Contract",$C$5&gt;0)</xm:f>
            <x14:dxf>
              <fill>
                <patternFill patternType="solid">
                  <fgColor theme="4" tint="0.79998168889431442"/>
                  <bgColor theme="8" tint="0.79995117038483843"/>
                </patternFill>
              </fill>
            </x14:dxf>
          </x14:cfRule>
          <xm:sqref>D16</xm:sqref>
        </x14:conditionalFormatting>
        <x14:conditionalFormatting xmlns:xm="http://schemas.microsoft.com/office/excel/2006/main">
          <x14:cfRule type="expression" priority="1735" id="{D821BDFF-0542-4446-8328-B4DC79194BD5}">
            <xm:f>AND(VLOOKUP(D17,Calendars!$O$1:$U$398,MATCH($X$1,Calendars!$O$1:$U$1,0),FALSE)="",D16=0)</xm:f>
            <x14:dxf>
              <fill>
                <patternFill>
                  <bgColor theme="7" tint="0.79998168889431442"/>
                </patternFill>
              </fill>
            </x14:dxf>
          </x14:cfRule>
          <xm:sqref>D16</xm:sqref>
        </x14:conditionalFormatting>
        <x14:conditionalFormatting xmlns:xm="http://schemas.microsoft.com/office/excel/2006/main">
          <x14:cfRule type="expression" priority="1724" id="{5A98BF91-752D-4C07-B75C-527CD7223F7C}">
            <xm:f>VLOOKUP(D17,Calendars!$O$1:$U$398,MATCH($X$1,Calendars!$O$1:$U$1,0),FALSE)="Non Contract"</xm:f>
            <x14:dxf>
              <fill>
                <patternFill patternType="lightDown"/>
              </fill>
              <border>
                <bottom/>
              </border>
            </x14:dxf>
          </x14:cfRule>
          <x14:cfRule type="expression" priority="1733" id="{7D6993A2-294E-4614-973A-914CBF2CE87A}">
            <xm:f>VLOOKUP(D17,Calendars!$O$1:$U$398,MATCH($X$1,Calendars!$O$1:$U$1,0),FALSE)="Holiday"</xm:f>
            <x14:dxf>
              <fill>
                <patternFill>
                  <bgColor rgb="FFFF99FF"/>
                </patternFill>
              </fill>
              <border>
                <bottom/>
              </border>
            </x14:dxf>
          </x14:cfRule>
          <xm:sqref>D16</xm:sqref>
        </x14:conditionalFormatting>
        <x14:conditionalFormatting xmlns:xm="http://schemas.microsoft.com/office/excel/2006/main">
          <x14:cfRule type="expression" priority="1713" id="{064216B0-62F0-4A14-A03E-84CD6D247B44}">
            <xm:f>AND(VLOOKUP(E17,Calendars!$O$1:$U$398,MATCH($X$1,Calendars!$O$1:$U$1,0),FALSE)="Non Contract",$C$5&gt;0)</xm:f>
            <x14:dxf>
              <fill>
                <patternFill patternType="solid">
                  <fgColor theme="4" tint="0.79998168889431442"/>
                  <bgColor theme="8" tint="0.79995117038483843"/>
                </patternFill>
              </fill>
            </x14:dxf>
          </x14:cfRule>
          <xm:sqref>E16:G16</xm:sqref>
        </x14:conditionalFormatting>
        <x14:conditionalFormatting xmlns:xm="http://schemas.microsoft.com/office/excel/2006/main">
          <x14:cfRule type="expression" priority="1723" id="{3730B2C1-DB0C-42B0-A304-14A55C06B9DA}">
            <xm:f>AND(VLOOKUP(E17,Calendars!$O$1:$U$398,MATCH($X$1,Calendars!$O$1:$U$1,0),FALSE)="",E16=0)</xm:f>
            <x14:dxf>
              <fill>
                <patternFill>
                  <bgColor theme="7" tint="0.79998168889431442"/>
                </patternFill>
              </fill>
            </x14:dxf>
          </x14:cfRule>
          <xm:sqref>E16:G16</xm:sqref>
        </x14:conditionalFormatting>
        <x14:conditionalFormatting xmlns:xm="http://schemas.microsoft.com/office/excel/2006/main">
          <x14:cfRule type="expression" priority="1712" id="{8C2C2DFF-8DC3-4AC9-A273-37D7B4FF241C}">
            <xm:f>VLOOKUP(E17,Calendars!$O$1:$U$398,MATCH($X$1,Calendars!$O$1:$U$1,0),FALSE)="Non Contract"</xm:f>
            <x14:dxf>
              <fill>
                <patternFill patternType="lightDown"/>
              </fill>
              <border>
                <bottom/>
              </border>
            </x14:dxf>
          </x14:cfRule>
          <x14:cfRule type="expression" priority="1721" id="{4358E720-7863-4F8C-B05B-759EA43996F7}">
            <xm:f>VLOOKUP(E17,Calendars!$O$1:$U$398,MATCH($X$1,Calendars!$O$1:$U$1,0),FALSE)="Holiday"</xm:f>
            <x14:dxf>
              <fill>
                <patternFill>
                  <bgColor rgb="FFFF99FF"/>
                </patternFill>
              </fill>
              <border>
                <bottom/>
              </border>
            </x14:dxf>
          </x14:cfRule>
          <xm:sqref>E16:G16</xm:sqref>
        </x14:conditionalFormatting>
        <x14:conditionalFormatting xmlns:xm="http://schemas.microsoft.com/office/excel/2006/main">
          <x14:cfRule type="expression" priority="1701" id="{CD09BE28-3687-4DF9-818A-1D32B7A5C1EE}">
            <xm:f>AND(VLOOKUP(C19,Calendars!$O$1:$U$398,MATCH($X$1,Calendars!$O$1:$U$1,0),FALSE)="Non Contract",$C$5&gt;0)</xm:f>
            <x14:dxf>
              <fill>
                <patternFill patternType="solid">
                  <fgColor theme="4" tint="0.79998168889431442"/>
                  <bgColor theme="8" tint="0.79995117038483843"/>
                </patternFill>
              </fill>
            </x14:dxf>
          </x14:cfRule>
          <xm:sqref>C18</xm:sqref>
        </x14:conditionalFormatting>
        <x14:conditionalFormatting xmlns:xm="http://schemas.microsoft.com/office/excel/2006/main">
          <x14:cfRule type="expression" priority="1711" id="{8768FC93-B06F-410B-AE01-A914CDA0D1A2}">
            <xm:f>AND(VLOOKUP(C19,Calendars!$O$1:$U$398,MATCH($X$1,Calendars!$O$1:$U$1,0),FALSE)="",C18=0)</xm:f>
            <x14:dxf>
              <fill>
                <patternFill>
                  <bgColor theme="7" tint="0.79998168889431442"/>
                </patternFill>
              </fill>
            </x14:dxf>
          </x14:cfRule>
          <xm:sqref>C18</xm:sqref>
        </x14:conditionalFormatting>
        <x14:conditionalFormatting xmlns:xm="http://schemas.microsoft.com/office/excel/2006/main">
          <x14:cfRule type="expression" priority="1700" id="{042B3100-FBE5-467B-86C4-CD6B51A37E3D}">
            <xm:f>VLOOKUP(C19,Calendars!$O$1:$U$398,MATCH($X$1,Calendars!$O$1:$U$1,0),FALSE)="Non Contract"</xm:f>
            <x14:dxf>
              <fill>
                <patternFill patternType="lightDown"/>
              </fill>
              <border>
                <bottom/>
              </border>
            </x14:dxf>
          </x14:cfRule>
          <x14:cfRule type="expression" priority="1709" id="{1D98DCDE-DA63-480E-8EA3-A6F2B9B15B65}">
            <xm:f>VLOOKUP(C19,Calendars!$O$1:$U$398,MATCH($X$1,Calendars!$O$1:$U$1,0),FALSE)="Holiday"</xm:f>
            <x14:dxf>
              <fill>
                <patternFill>
                  <bgColor rgb="FFFF99FF"/>
                </patternFill>
              </fill>
              <border>
                <bottom/>
              </border>
            </x14:dxf>
          </x14:cfRule>
          <xm:sqref>C18</xm:sqref>
        </x14:conditionalFormatting>
        <x14:conditionalFormatting xmlns:xm="http://schemas.microsoft.com/office/excel/2006/main">
          <x14:cfRule type="expression" priority="1689" id="{1E880B27-3BF4-4586-90B1-E68DEF05D976}">
            <xm:f>AND(VLOOKUP(D19,Calendars!$O$1:$U$398,MATCH($X$1,Calendars!$O$1:$U$1,0),FALSE)="Non Contract",$C$5&gt;0)</xm:f>
            <x14:dxf>
              <fill>
                <patternFill patternType="solid">
                  <fgColor theme="4" tint="0.79998168889431442"/>
                  <bgColor theme="8" tint="0.79995117038483843"/>
                </patternFill>
              </fill>
            </x14:dxf>
          </x14:cfRule>
          <xm:sqref>D18</xm:sqref>
        </x14:conditionalFormatting>
        <x14:conditionalFormatting xmlns:xm="http://schemas.microsoft.com/office/excel/2006/main">
          <x14:cfRule type="expression" priority="1699" id="{FA68137A-F53E-4A53-BBB2-196D30DC6979}">
            <xm:f>AND(VLOOKUP(D19,Calendars!$O$1:$U$398,MATCH($X$1,Calendars!$O$1:$U$1,0),FALSE)="",D18=0)</xm:f>
            <x14:dxf>
              <fill>
                <patternFill>
                  <bgColor theme="7" tint="0.79998168889431442"/>
                </patternFill>
              </fill>
            </x14:dxf>
          </x14:cfRule>
          <xm:sqref>D18</xm:sqref>
        </x14:conditionalFormatting>
        <x14:conditionalFormatting xmlns:xm="http://schemas.microsoft.com/office/excel/2006/main">
          <x14:cfRule type="expression" priority="1688" id="{DD6852AF-BF4F-4120-91B2-15520CD5E93A}">
            <xm:f>VLOOKUP(D19,Calendars!$O$1:$U$398,MATCH($X$1,Calendars!$O$1:$U$1,0),FALSE)="Non Contract"</xm:f>
            <x14:dxf>
              <fill>
                <patternFill patternType="lightDown"/>
              </fill>
              <border>
                <bottom/>
              </border>
            </x14:dxf>
          </x14:cfRule>
          <x14:cfRule type="expression" priority="1697" id="{E94C1CB7-806F-4DD8-87CE-8F6017A56B62}">
            <xm:f>VLOOKUP(D19,Calendars!$O$1:$U$398,MATCH($X$1,Calendars!$O$1:$U$1,0),FALSE)="Holiday"</xm:f>
            <x14:dxf>
              <fill>
                <patternFill>
                  <bgColor rgb="FFFF99FF"/>
                </patternFill>
              </fill>
              <border>
                <bottom/>
              </border>
            </x14:dxf>
          </x14:cfRule>
          <xm:sqref>D18</xm:sqref>
        </x14:conditionalFormatting>
        <x14:conditionalFormatting xmlns:xm="http://schemas.microsoft.com/office/excel/2006/main">
          <x14:cfRule type="expression" priority="1677" id="{530C1387-D5CD-4FDB-81C7-2647FE28E018}">
            <xm:f>AND(VLOOKUP(E19,Calendars!$O$1:$U$398,MATCH($X$1,Calendars!$O$1:$U$1,0),FALSE)="Non Contract",$C$5&gt;0)</xm:f>
            <x14:dxf>
              <fill>
                <patternFill patternType="solid">
                  <fgColor theme="4" tint="0.79998168889431442"/>
                  <bgColor theme="8" tint="0.79995117038483843"/>
                </patternFill>
              </fill>
            </x14:dxf>
          </x14:cfRule>
          <xm:sqref>E18:G18</xm:sqref>
        </x14:conditionalFormatting>
        <x14:conditionalFormatting xmlns:xm="http://schemas.microsoft.com/office/excel/2006/main">
          <x14:cfRule type="expression" priority="1687" id="{49DAB6FE-9BCB-4B47-857A-1C222868E21B}">
            <xm:f>AND(VLOOKUP(E19,Calendars!$O$1:$U$398,MATCH($X$1,Calendars!$O$1:$U$1,0),FALSE)="",E18=0)</xm:f>
            <x14:dxf>
              <fill>
                <patternFill>
                  <bgColor theme="7" tint="0.79998168889431442"/>
                </patternFill>
              </fill>
            </x14:dxf>
          </x14:cfRule>
          <xm:sqref>E18:G18</xm:sqref>
        </x14:conditionalFormatting>
        <x14:conditionalFormatting xmlns:xm="http://schemas.microsoft.com/office/excel/2006/main">
          <x14:cfRule type="expression" priority="1676" id="{F61665F3-0348-4FD6-9C48-A3A4E88421E7}">
            <xm:f>VLOOKUP(E19,Calendars!$O$1:$U$398,MATCH($X$1,Calendars!$O$1:$U$1,0),FALSE)="Non Contract"</xm:f>
            <x14:dxf>
              <fill>
                <patternFill patternType="lightDown"/>
              </fill>
              <border>
                <bottom/>
              </border>
            </x14:dxf>
          </x14:cfRule>
          <x14:cfRule type="expression" priority="1685" id="{8B06E419-3517-412E-8FA4-8EFD744D1D23}">
            <xm:f>VLOOKUP(E19,Calendars!$O$1:$U$398,MATCH($X$1,Calendars!$O$1:$U$1,0),FALSE)="Holiday"</xm:f>
            <x14:dxf>
              <fill>
                <patternFill>
                  <bgColor rgb="FFFF99FF"/>
                </patternFill>
              </fill>
              <border>
                <bottom/>
              </border>
            </x14:dxf>
          </x14:cfRule>
          <xm:sqref>E18:G18</xm:sqref>
        </x14:conditionalFormatting>
        <x14:conditionalFormatting xmlns:xm="http://schemas.microsoft.com/office/excel/2006/main">
          <x14:cfRule type="expression" priority="1665" id="{83627100-E159-436B-AED4-194F6620AD47}">
            <xm:f>AND(VLOOKUP(C21,Calendars!$O$1:$U$398,MATCH($X$1,Calendars!$O$1:$U$1,0),FALSE)="Non Contract",$C$5&gt;0)</xm:f>
            <x14:dxf>
              <fill>
                <patternFill patternType="solid">
                  <fgColor theme="4" tint="0.79998168889431442"/>
                  <bgColor theme="8" tint="0.79995117038483843"/>
                </patternFill>
              </fill>
            </x14:dxf>
          </x14:cfRule>
          <xm:sqref>C20</xm:sqref>
        </x14:conditionalFormatting>
        <x14:conditionalFormatting xmlns:xm="http://schemas.microsoft.com/office/excel/2006/main">
          <x14:cfRule type="expression" priority="1675" id="{590F4E41-2AB2-48B9-952D-0A4C64DB2C93}">
            <xm:f>AND(VLOOKUP(C21,Calendars!$O$1:$U$398,MATCH($X$1,Calendars!$O$1:$U$1,0),FALSE)="",C20=0)</xm:f>
            <x14:dxf>
              <fill>
                <patternFill>
                  <bgColor theme="7" tint="0.79998168889431442"/>
                </patternFill>
              </fill>
            </x14:dxf>
          </x14:cfRule>
          <xm:sqref>C20</xm:sqref>
        </x14:conditionalFormatting>
        <x14:conditionalFormatting xmlns:xm="http://schemas.microsoft.com/office/excel/2006/main">
          <x14:cfRule type="expression" priority="1664" id="{965D6FC5-BD63-40C4-85F8-C02B40EC1258}">
            <xm:f>VLOOKUP(C21,Calendars!$O$1:$U$398,MATCH($X$1,Calendars!$O$1:$U$1,0),FALSE)="Non Contract"</xm:f>
            <x14:dxf>
              <fill>
                <patternFill patternType="lightDown"/>
              </fill>
              <border>
                <bottom/>
              </border>
            </x14:dxf>
          </x14:cfRule>
          <x14:cfRule type="expression" priority="1673" id="{DD1AA87B-5B42-42B9-86BD-3A458243AA96}">
            <xm:f>VLOOKUP(C21,Calendars!$O$1:$U$398,MATCH($X$1,Calendars!$O$1:$U$1,0),FALSE)="Holiday"</xm:f>
            <x14:dxf>
              <fill>
                <patternFill>
                  <bgColor rgb="FFFF99FF"/>
                </patternFill>
              </fill>
              <border>
                <bottom/>
              </border>
            </x14:dxf>
          </x14:cfRule>
          <xm:sqref>C20</xm:sqref>
        </x14:conditionalFormatting>
        <x14:conditionalFormatting xmlns:xm="http://schemas.microsoft.com/office/excel/2006/main">
          <x14:cfRule type="expression" priority="1653" id="{8DF16823-27AC-4096-B3AE-8F8A9F868129}">
            <xm:f>AND(VLOOKUP(D21,Calendars!$O$1:$U$398,MATCH($X$1,Calendars!$O$1:$U$1,0),FALSE)="Non Contract",$C$5&gt;0)</xm:f>
            <x14:dxf>
              <fill>
                <patternFill patternType="solid">
                  <fgColor theme="4" tint="0.79998168889431442"/>
                  <bgColor theme="8" tint="0.79995117038483843"/>
                </patternFill>
              </fill>
            </x14:dxf>
          </x14:cfRule>
          <xm:sqref>D20</xm:sqref>
        </x14:conditionalFormatting>
        <x14:conditionalFormatting xmlns:xm="http://schemas.microsoft.com/office/excel/2006/main">
          <x14:cfRule type="expression" priority="1663" id="{F2BFEFF4-986E-4E19-A40F-C8684A2B81FF}">
            <xm:f>AND(VLOOKUP(D21,Calendars!$O$1:$U$398,MATCH($X$1,Calendars!$O$1:$U$1,0),FALSE)="",D20=0)</xm:f>
            <x14:dxf>
              <fill>
                <patternFill>
                  <bgColor theme="7" tint="0.79998168889431442"/>
                </patternFill>
              </fill>
            </x14:dxf>
          </x14:cfRule>
          <xm:sqref>D20</xm:sqref>
        </x14:conditionalFormatting>
        <x14:conditionalFormatting xmlns:xm="http://schemas.microsoft.com/office/excel/2006/main">
          <x14:cfRule type="expression" priority="1652" id="{4FEE9FD2-EA59-4B00-A4AC-97ED067A974C}">
            <xm:f>VLOOKUP(D21,Calendars!$O$1:$U$398,MATCH($X$1,Calendars!$O$1:$U$1,0),FALSE)="Non Contract"</xm:f>
            <x14:dxf>
              <fill>
                <patternFill patternType="lightDown"/>
              </fill>
              <border>
                <bottom/>
              </border>
            </x14:dxf>
          </x14:cfRule>
          <x14:cfRule type="expression" priority="1661" id="{0FEACF93-3BEB-47D4-AA18-1D9EE5B8B204}">
            <xm:f>VLOOKUP(D21,Calendars!$O$1:$U$398,MATCH($X$1,Calendars!$O$1:$U$1,0),FALSE)="Holiday"</xm:f>
            <x14:dxf>
              <fill>
                <patternFill>
                  <bgColor rgb="FFFF99FF"/>
                </patternFill>
              </fill>
              <border>
                <bottom/>
              </border>
            </x14:dxf>
          </x14:cfRule>
          <xm:sqref>D20</xm:sqref>
        </x14:conditionalFormatting>
        <x14:conditionalFormatting xmlns:xm="http://schemas.microsoft.com/office/excel/2006/main">
          <x14:cfRule type="expression" priority="1641" id="{1560AB91-192D-42A8-B02C-0B5D2A2EA5DA}">
            <xm:f>AND(VLOOKUP(E21,Calendars!$O$1:$U$398,MATCH($X$1,Calendars!$O$1:$U$1,0),FALSE)="Non Contract",$C$5&gt;0)</xm:f>
            <x14:dxf>
              <fill>
                <patternFill patternType="solid">
                  <fgColor theme="4" tint="0.79998168889431442"/>
                  <bgColor theme="8" tint="0.79995117038483843"/>
                </patternFill>
              </fill>
            </x14:dxf>
          </x14:cfRule>
          <xm:sqref>E20:G20</xm:sqref>
        </x14:conditionalFormatting>
        <x14:conditionalFormatting xmlns:xm="http://schemas.microsoft.com/office/excel/2006/main">
          <x14:cfRule type="expression" priority="1651" id="{3F5AC05C-F08B-4E32-BCEC-FE7841E822EE}">
            <xm:f>AND(VLOOKUP(E21,Calendars!$O$1:$U$398,MATCH($X$1,Calendars!$O$1:$U$1,0),FALSE)="",E20=0)</xm:f>
            <x14:dxf>
              <fill>
                <patternFill>
                  <bgColor theme="7" tint="0.79998168889431442"/>
                </patternFill>
              </fill>
            </x14:dxf>
          </x14:cfRule>
          <xm:sqref>E20:G20</xm:sqref>
        </x14:conditionalFormatting>
        <x14:conditionalFormatting xmlns:xm="http://schemas.microsoft.com/office/excel/2006/main">
          <x14:cfRule type="expression" priority="1640" id="{7E1353BF-1ACC-43FC-8011-6109FCA6E8E0}">
            <xm:f>VLOOKUP(E21,Calendars!$O$1:$U$398,MATCH($X$1,Calendars!$O$1:$U$1,0),FALSE)="Non Contract"</xm:f>
            <x14:dxf>
              <fill>
                <patternFill patternType="lightDown"/>
              </fill>
              <border>
                <bottom/>
              </border>
            </x14:dxf>
          </x14:cfRule>
          <x14:cfRule type="expression" priority="1649" id="{2172C3ED-9323-44F4-AEF4-C49CCDF4216B}">
            <xm:f>VLOOKUP(E21,Calendars!$O$1:$U$398,MATCH($X$1,Calendars!$O$1:$U$1,0),FALSE)="Holiday"</xm:f>
            <x14:dxf>
              <fill>
                <patternFill>
                  <bgColor rgb="FFFF99FF"/>
                </patternFill>
              </fill>
              <border>
                <bottom/>
              </border>
            </x14:dxf>
          </x14:cfRule>
          <xm:sqref>E20:G20</xm:sqref>
        </x14:conditionalFormatting>
        <x14:conditionalFormatting xmlns:xm="http://schemas.microsoft.com/office/excel/2006/main">
          <x14:cfRule type="expression" priority="1629" id="{7D94883E-9E4D-4350-8AD6-1090FE5E1AED}">
            <xm:f>AND(VLOOKUP(C23,Calendars!$O$1:$U$398,MATCH($X$1,Calendars!$O$1:$U$1,0),FALSE)="Non Contract",$C$5&gt;0)</xm:f>
            <x14:dxf>
              <fill>
                <patternFill patternType="solid">
                  <fgColor theme="4" tint="0.79998168889431442"/>
                  <bgColor theme="8" tint="0.79995117038483843"/>
                </patternFill>
              </fill>
            </x14:dxf>
          </x14:cfRule>
          <xm:sqref>C22</xm:sqref>
        </x14:conditionalFormatting>
        <x14:conditionalFormatting xmlns:xm="http://schemas.microsoft.com/office/excel/2006/main">
          <x14:cfRule type="expression" priority="1639" id="{08CE30E2-CC18-4BF1-8940-C67326A7D9A8}">
            <xm:f>AND(VLOOKUP(C23,Calendars!$O$1:$U$398,MATCH($X$1,Calendars!$O$1:$U$1,0),FALSE)="",C22=0)</xm:f>
            <x14:dxf>
              <fill>
                <patternFill>
                  <bgColor theme="7" tint="0.79998168889431442"/>
                </patternFill>
              </fill>
            </x14:dxf>
          </x14:cfRule>
          <xm:sqref>C22</xm:sqref>
        </x14:conditionalFormatting>
        <x14:conditionalFormatting xmlns:xm="http://schemas.microsoft.com/office/excel/2006/main">
          <x14:cfRule type="expression" priority="1628" id="{B6CE637B-651C-45FF-A529-DAE9147CBBDA}">
            <xm:f>VLOOKUP(C23,Calendars!$O$1:$U$398,MATCH($X$1,Calendars!$O$1:$U$1,0),FALSE)="Non Contract"</xm:f>
            <x14:dxf>
              <fill>
                <patternFill patternType="lightDown"/>
              </fill>
              <border>
                <bottom/>
              </border>
            </x14:dxf>
          </x14:cfRule>
          <x14:cfRule type="expression" priority="1637" id="{99DB9351-1F31-4B8D-BF93-57FAADBC70A4}">
            <xm:f>VLOOKUP(C23,Calendars!$O$1:$U$398,MATCH($X$1,Calendars!$O$1:$U$1,0),FALSE)="Holiday"</xm:f>
            <x14:dxf>
              <fill>
                <patternFill>
                  <bgColor rgb="FFFF99FF"/>
                </patternFill>
              </fill>
              <border>
                <bottom/>
              </border>
            </x14:dxf>
          </x14:cfRule>
          <xm:sqref>C22</xm:sqref>
        </x14:conditionalFormatting>
        <x14:conditionalFormatting xmlns:xm="http://schemas.microsoft.com/office/excel/2006/main">
          <x14:cfRule type="expression" priority="1617" id="{68C36915-CB76-41D1-A0F8-C8B824C407FD}">
            <xm:f>AND(VLOOKUP(D23,Calendars!$O$1:$U$398,MATCH($X$1,Calendars!$O$1:$U$1,0),FALSE)="Non Contract",$C$5&gt;0)</xm:f>
            <x14:dxf>
              <fill>
                <patternFill patternType="solid">
                  <fgColor theme="4" tint="0.79998168889431442"/>
                  <bgColor theme="8" tint="0.79995117038483843"/>
                </patternFill>
              </fill>
            </x14:dxf>
          </x14:cfRule>
          <xm:sqref>D22</xm:sqref>
        </x14:conditionalFormatting>
        <x14:conditionalFormatting xmlns:xm="http://schemas.microsoft.com/office/excel/2006/main">
          <x14:cfRule type="expression" priority="1627" id="{AB5F62A9-92B5-4E73-BB4F-E1758CC4297B}">
            <xm:f>AND(VLOOKUP(D23,Calendars!$O$1:$U$398,MATCH($X$1,Calendars!$O$1:$U$1,0),FALSE)="",D22=0)</xm:f>
            <x14:dxf>
              <fill>
                <patternFill>
                  <bgColor theme="7" tint="0.79998168889431442"/>
                </patternFill>
              </fill>
            </x14:dxf>
          </x14:cfRule>
          <xm:sqref>D22</xm:sqref>
        </x14:conditionalFormatting>
        <x14:conditionalFormatting xmlns:xm="http://schemas.microsoft.com/office/excel/2006/main">
          <x14:cfRule type="expression" priority="1616" id="{644F5106-901E-4856-9115-FD0FB4B4A92A}">
            <xm:f>VLOOKUP(D23,Calendars!$O$1:$U$398,MATCH($X$1,Calendars!$O$1:$U$1,0),FALSE)="Non Contract"</xm:f>
            <x14:dxf>
              <fill>
                <patternFill patternType="lightDown"/>
              </fill>
              <border>
                <bottom/>
              </border>
            </x14:dxf>
          </x14:cfRule>
          <x14:cfRule type="expression" priority="1625" id="{8242BC13-9C77-480C-BD14-2F5CEF7401E4}">
            <xm:f>VLOOKUP(D23,Calendars!$O$1:$U$398,MATCH($X$1,Calendars!$O$1:$U$1,0),FALSE)="Holiday"</xm:f>
            <x14:dxf>
              <fill>
                <patternFill>
                  <bgColor rgb="FFFF99FF"/>
                </patternFill>
              </fill>
              <border>
                <bottom/>
              </border>
            </x14:dxf>
          </x14:cfRule>
          <xm:sqref>D22</xm:sqref>
        </x14:conditionalFormatting>
        <x14:conditionalFormatting xmlns:xm="http://schemas.microsoft.com/office/excel/2006/main">
          <x14:cfRule type="expression" priority="1605" id="{BA9BFE01-7F5E-42CE-9848-40EC8665B979}">
            <xm:f>AND(VLOOKUP(E23,Calendars!$O$1:$U$398,MATCH($X$1,Calendars!$O$1:$U$1,0),FALSE)="Non Contract",$C$5&gt;0)</xm:f>
            <x14:dxf>
              <fill>
                <patternFill patternType="solid">
                  <fgColor theme="4" tint="0.79998168889431442"/>
                  <bgColor theme="8" tint="0.79995117038483843"/>
                </patternFill>
              </fill>
            </x14:dxf>
          </x14:cfRule>
          <xm:sqref>E22:G22</xm:sqref>
        </x14:conditionalFormatting>
        <x14:conditionalFormatting xmlns:xm="http://schemas.microsoft.com/office/excel/2006/main">
          <x14:cfRule type="expression" priority="1615" id="{6C11BEF1-F2DB-46F8-A512-2DA80F8EF739}">
            <xm:f>AND(VLOOKUP(E23,Calendars!$O$1:$U$398,MATCH($X$1,Calendars!$O$1:$U$1,0),FALSE)="",E22=0)</xm:f>
            <x14:dxf>
              <fill>
                <patternFill>
                  <bgColor theme="7" tint="0.79998168889431442"/>
                </patternFill>
              </fill>
            </x14:dxf>
          </x14:cfRule>
          <xm:sqref>E22:G22</xm:sqref>
        </x14:conditionalFormatting>
        <x14:conditionalFormatting xmlns:xm="http://schemas.microsoft.com/office/excel/2006/main">
          <x14:cfRule type="expression" priority="1604" id="{0F89B172-33BB-42AD-9267-885A4ED2649B}">
            <xm:f>VLOOKUP(E23,Calendars!$O$1:$U$398,MATCH($X$1,Calendars!$O$1:$U$1,0),FALSE)="Non Contract"</xm:f>
            <x14:dxf>
              <fill>
                <patternFill patternType="lightDown"/>
              </fill>
              <border>
                <bottom/>
              </border>
            </x14:dxf>
          </x14:cfRule>
          <x14:cfRule type="expression" priority="1613" id="{7C6D8001-2663-4E1A-89EE-182EFD0BB995}">
            <xm:f>VLOOKUP(E23,Calendars!$O$1:$U$398,MATCH($X$1,Calendars!$O$1:$U$1,0),FALSE)="Holiday"</xm:f>
            <x14:dxf>
              <fill>
                <patternFill>
                  <bgColor rgb="FFFF99FF"/>
                </patternFill>
              </fill>
              <border>
                <bottom/>
              </border>
            </x14:dxf>
          </x14:cfRule>
          <xm:sqref>E22:G22</xm:sqref>
        </x14:conditionalFormatting>
        <x14:conditionalFormatting xmlns:xm="http://schemas.microsoft.com/office/excel/2006/main">
          <x14:cfRule type="expression" priority="1593" id="{6214DE4A-5879-4A28-AA37-832B406AD5FA}">
            <xm:f>AND(VLOOKUP(C25,Calendars!$O$1:$U$398,MATCH($X$1,Calendars!$O$1:$U$1,0),FALSE)="Non Contract",$C$5&gt;0)</xm:f>
            <x14:dxf>
              <fill>
                <patternFill patternType="solid">
                  <fgColor theme="4" tint="0.79998168889431442"/>
                  <bgColor theme="8" tint="0.79995117038483843"/>
                </patternFill>
              </fill>
            </x14:dxf>
          </x14:cfRule>
          <xm:sqref>C24</xm:sqref>
        </x14:conditionalFormatting>
        <x14:conditionalFormatting xmlns:xm="http://schemas.microsoft.com/office/excel/2006/main">
          <x14:cfRule type="expression" priority="1603" id="{CEA0752B-B060-440A-870E-C8DBE7523188}">
            <xm:f>AND(VLOOKUP(C25,Calendars!$O$1:$U$398,MATCH($X$1,Calendars!$O$1:$U$1,0),FALSE)="",C24=0)</xm:f>
            <x14:dxf>
              <fill>
                <patternFill>
                  <bgColor theme="7" tint="0.79998168889431442"/>
                </patternFill>
              </fill>
            </x14:dxf>
          </x14:cfRule>
          <xm:sqref>C24</xm:sqref>
        </x14:conditionalFormatting>
        <x14:conditionalFormatting xmlns:xm="http://schemas.microsoft.com/office/excel/2006/main">
          <x14:cfRule type="expression" priority="1592" id="{E57E4884-27DD-4A42-805B-D236F9CA9CD3}">
            <xm:f>VLOOKUP(C25,Calendars!$O$1:$U$398,MATCH($X$1,Calendars!$O$1:$U$1,0),FALSE)="Non Contract"</xm:f>
            <x14:dxf>
              <fill>
                <patternFill patternType="lightDown"/>
              </fill>
              <border>
                <bottom/>
              </border>
            </x14:dxf>
          </x14:cfRule>
          <x14:cfRule type="expression" priority="1601" id="{B6732371-3D5A-4896-B0BA-48236E0E4946}">
            <xm:f>VLOOKUP(C25,Calendars!$O$1:$U$398,MATCH($X$1,Calendars!$O$1:$U$1,0),FALSE)="Holiday"</xm:f>
            <x14:dxf>
              <fill>
                <patternFill>
                  <bgColor rgb="FFFF99FF"/>
                </patternFill>
              </fill>
              <border>
                <bottom/>
              </border>
            </x14:dxf>
          </x14:cfRule>
          <xm:sqref>C24</xm:sqref>
        </x14:conditionalFormatting>
        <x14:conditionalFormatting xmlns:xm="http://schemas.microsoft.com/office/excel/2006/main">
          <x14:cfRule type="expression" priority="1581" id="{8BA4D54C-7D73-418F-AC1C-803A874E3766}">
            <xm:f>AND(VLOOKUP(D25,Calendars!$O$1:$U$398,MATCH($X$1,Calendars!$O$1:$U$1,0),FALSE)="Non Contract",$C$5&gt;0)</xm:f>
            <x14:dxf>
              <fill>
                <patternFill patternType="solid">
                  <fgColor theme="4" tint="0.79998168889431442"/>
                  <bgColor theme="8" tint="0.79995117038483843"/>
                </patternFill>
              </fill>
            </x14:dxf>
          </x14:cfRule>
          <xm:sqref>D24</xm:sqref>
        </x14:conditionalFormatting>
        <x14:conditionalFormatting xmlns:xm="http://schemas.microsoft.com/office/excel/2006/main">
          <x14:cfRule type="expression" priority="1591" id="{8F2901D1-341E-4B81-82A6-99B19BB1C5C1}">
            <xm:f>AND(VLOOKUP(D25,Calendars!$O$1:$U$398,MATCH($X$1,Calendars!$O$1:$U$1,0),FALSE)="",D24=0)</xm:f>
            <x14:dxf>
              <fill>
                <patternFill>
                  <bgColor theme="7" tint="0.79998168889431442"/>
                </patternFill>
              </fill>
            </x14:dxf>
          </x14:cfRule>
          <xm:sqref>D24</xm:sqref>
        </x14:conditionalFormatting>
        <x14:conditionalFormatting xmlns:xm="http://schemas.microsoft.com/office/excel/2006/main">
          <x14:cfRule type="expression" priority="1580" id="{90658290-603E-4641-862F-8FB2B2F431E3}">
            <xm:f>VLOOKUP(D25,Calendars!$O$1:$U$398,MATCH($X$1,Calendars!$O$1:$U$1,0),FALSE)="Non Contract"</xm:f>
            <x14:dxf>
              <fill>
                <patternFill patternType="lightDown"/>
              </fill>
              <border>
                <bottom/>
              </border>
            </x14:dxf>
          </x14:cfRule>
          <x14:cfRule type="expression" priority="1589" id="{53B781A4-3814-4BE4-BE04-FEE3AF0F9F8A}">
            <xm:f>VLOOKUP(D25,Calendars!$O$1:$U$398,MATCH($X$1,Calendars!$O$1:$U$1,0),FALSE)="Holiday"</xm:f>
            <x14:dxf>
              <fill>
                <patternFill>
                  <bgColor rgb="FFFF99FF"/>
                </patternFill>
              </fill>
              <border>
                <bottom/>
              </border>
            </x14:dxf>
          </x14:cfRule>
          <xm:sqref>D24</xm:sqref>
        </x14:conditionalFormatting>
        <x14:conditionalFormatting xmlns:xm="http://schemas.microsoft.com/office/excel/2006/main">
          <x14:cfRule type="expression" priority="1569" id="{C69DBE86-4713-4295-B994-AD3432F31262}">
            <xm:f>AND(VLOOKUP(E25,Calendars!$O$1:$U$398,MATCH($X$1,Calendars!$O$1:$U$1,0),FALSE)="Non Contract",$C$5&gt;0)</xm:f>
            <x14:dxf>
              <fill>
                <patternFill patternType="solid">
                  <fgColor theme="4" tint="0.79998168889431442"/>
                  <bgColor theme="8" tint="0.79995117038483843"/>
                </patternFill>
              </fill>
            </x14:dxf>
          </x14:cfRule>
          <xm:sqref>E24:G24</xm:sqref>
        </x14:conditionalFormatting>
        <x14:conditionalFormatting xmlns:xm="http://schemas.microsoft.com/office/excel/2006/main">
          <x14:cfRule type="expression" priority="1579" id="{1C734B0D-48CB-4B8E-A5A7-EEE7BA80311C}">
            <xm:f>AND(VLOOKUP(E25,Calendars!$O$1:$U$398,MATCH($X$1,Calendars!$O$1:$U$1,0),FALSE)="",E24=0)</xm:f>
            <x14:dxf>
              <fill>
                <patternFill>
                  <bgColor theme="7" tint="0.79998168889431442"/>
                </patternFill>
              </fill>
            </x14:dxf>
          </x14:cfRule>
          <xm:sqref>E24:G24</xm:sqref>
        </x14:conditionalFormatting>
        <x14:conditionalFormatting xmlns:xm="http://schemas.microsoft.com/office/excel/2006/main">
          <x14:cfRule type="expression" priority="1568" id="{9E5D1FEF-4152-49AE-9C9F-126108D1617E}">
            <xm:f>VLOOKUP(E25,Calendars!$O$1:$U$398,MATCH($X$1,Calendars!$O$1:$U$1,0),FALSE)="Non Contract"</xm:f>
            <x14:dxf>
              <fill>
                <patternFill patternType="lightDown"/>
              </fill>
              <border>
                <bottom/>
              </border>
            </x14:dxf>
          </x14:cfRule>
          <x14:cfRule type="expression" priority="1577" id="{3490A182-8652-4480-BAAA-5B93C5737500}">
            <xm:f>VLOOKUP(E25,Calendars!$O$1:$U$398,MATCH($X$1,Calendars!$O$1:$U$1,0),FALSE)="Holiday"</xm:f>
            <x14:dxf>
              <fill>
                <patternFill>
                  <bgColor rgb="FFFF99FF"/>
                </patternFill>
              </fill>
              <border>
                <bottom/>
              </border>
            </x14:dxf>
          </x14:cfRule>
          <xm:sqref>E24:G24</xm:sqref>
        </x14:conditionalFormatting>
        <x14:conditionalFormatting xmlns:xm="http://schemas.microsoft.com/office/excel/2006/main">
          <x14:cfRule type="expression" priority="1557" id="{977BD100-6624-427F-AF54-37BB684A94D3}">
            <xm:f>AND(VLOOKUP(J17,Calendars!$O$1:$U$398,MATCH($X$1,Calendars!$O$1:$U$1,0),FALSE)="Non Contract",$C$5&gt;0)</xm:f>
            <x14:dxf>
              <fill>
                <patternFill patternType="solid">
                  <fgColor theme="4" tint="0.79998168889431442"/>
                  <bgColor theme="8" tint="0.79995117038483843"/>
                </patternFill>
              </fill>
            </x14:dxf>
          </x14:cfRule>
          <xm:sqref>J16</xm:sqref>
        </x14:conditionalFormatting>
        <x14:conditionalFormatting xmlns:xm="http://schemas.microsoft.com/office/excel/2006/main">
          <x14:cfRule type="expression" priority="1567" id="{2001C4FA-A9EA-4306-B647-FD1E16F50E13}">
            <xm:f>AND(VLOOKUP(J17,Calendars!$O$1:$U$398,MATCH($X$1,Calendars!$O$1:$U$1,0),FALSE)="",J16=0)</xm:f>
            <x14:dxf>
              <fill>
                <patternFill>
                  <bgColor theme="7" tint="0.79998168889431442"/>
                </patternFill>
              </fill>
            </x14:dxf>
          </x14:cfRule>
          <xm:sqref>J16</xm:sqref>
        </x14:conditionalFormatting>
        <x14:conditionalFormatting xmlns:xm="http://schemas.microsoft.com/office/excel/2006/main">
          <x14:cfRule type="expression" priority="1556" id="{C0B2CB00-3BF2-4105-B7A7-D44391FEEE16}">
            <xm:f>VLOOKUP(J17,Calendars!$O$1:$U$398,MATCH($X$1,Calendars!$O$1:$U$1,0),FALSE)="Non Contract"</xm:f>
            <x14:dxf>
              <fill>
                <patternFill patternType="lightDown"/>
              </fill>
              <border>
                <bottom/>
              </border>
            </x14:dxf>
          </x14:cfRule>
          <x14:cfRule type="expression" priority="1565" id="{847914D2-59AA-4075-AB96-572F842E0423}">
            <xm:f>VLOOKUP(J17,Calendars!$O$1:$U$398,MATCH($X$1,Calendars!$O$1:$U$1,0),FALSE)="Holiday"</xm:f>
            <x14:dxf>
              <fill>
                <patternFill>
                  <bgColor rgb="FFFF99FF"/>
                </patternFill>
              </fill>
              <border>
                <bottom/>
              </border>
            </x14:dxf>
          </x14:cfRule>
          <xm:sqref>J16</xm:sqref>
        </x14:conditionalFormatting>
        <x14:conditionalFormatting xmlns:xm="http://schemas.microsoft.com/office/excel/2006/main">
          <x14:cfRule type="expression" priority="1545" id="{B82DEEAE-3AE0-41FC-A179-CAB1EB4CEA7A}">
            <xm:f>AND(VLOOKUP(K17,Calendars!$O$1:$U$398,MATCH($X$1,Calendars!$O$1:$U$1,0),FALSE)="Non Contract",$C$5&gt;0)</xm:f>
            <x14:dxf>
              <fill>
                <patternFill patternType="solid">
                  <fgColor theme="4" tint="0.79998168889431442"/>
                  <bgColor theme="8" tint="0.79995117038483843"/>
                </patternFill>
              </fill>
            </x14:dxf>
          </x14:cfRule>
          <xm:sqref>K16</xm:sqref>
        </x14:conditionalFormatting>
        <x14:conditionalFormatting xmlns:xm="http://schemas.microsoft.com/office/excel/2006/main">
          <x14:cfRule type="expression" priority="1555" id="{D5E9FC34-B4DB-4538-881A-23231F688677}">
            <xm:f>AND(VLOOKUP(K17,Calendars!$O$1:$U$398,MATCH($X$1,Calendars!$O$1:$U$1,0),FALSE)="",K16=0)</xm:f>
            <x14:dxf>
              <fill>
                <patternFill>
                  <bgColor theme="7" tint="0.79998168889431442"/>
                </patternFill>
              </fill>
            </x14:dxf>
          </x14:cfRule>
          <xm:sqref>K16</xm:sqref>
        </x14:conditionalFormatting>
        <x14:conditionalFormatting xmlns:xm="http://schemas.microsoft.com/office/excel/2006/main">
          <x14:cfRule type="expression" priority="1544" id="{E1810B8A-943B-4227-A1D3-1439CC4F92D4}">
            <xm:f>VLOOKUP(K17,Calendars!$O$1:$U$398,MATCH($X$1,Calendars!$O$1:$U$1,0),FALSE)="Non Contract"</xm:f>
            <x14:dxf>
              <fill>
                <patternFill patternType="lightDown"/>
              </fill>
              <border>
                <bottom/>
              </border>
            </x14:dxf>
          </x14:cfRule>
          <x14:cfRule type="expression" priority="1553" id="{B8C0FB0A-D6B3-4DCA-AD82-C0E6492EC3B5}">
            <xm:f>VLOOKUP(K17,Calendars!$O$1:$U$398,MATCH($X$1,Calendars!$O$1:$U$1,0),FALSE)="Holiday"</xm:f>
            <x14:dxf>
              <fill>
                <patternFill>
                  <bgColor rgb="FFFF99FF"/>
                </patternFill>
              </fill>
              <border>
                <bottom/>
              </border>
            </x14:dxf>
          </x14:cfRule>
          <xm:sqref>K16</xm:sqref>
        </x14:conditionalFormatting>
        <x14:conditionalFormatting xmlns:xm="http://schemas.microsoft.com/office/excel/2006/main">
          <x14:cfRule type="expression" priority="1533" id="{C05BBDB8-65B5-46E3-85A4-3D65DB527B0F}">
            <xm:f>AND(VLOOKUP(L17,Calendars!$O$1:$U$398,MATCH($X$1,Calendars!$O$1:$U$1,0),FALSE)="Non Contract",$C$5&gt;0)</xm:f>
            <x14:dxf>
              <fill>
                <patternFill patternType="solid">
                  <fgColor theme="4" tint="0.79998168889431442"/>
                  <bgColor theme="8" tint="0.79995117038483843"/>
                </patternFill>
              </fill>
            </x14:dxf>
          </x14:cfRule>
          <xm:sqref>L16:N16</xm:sqref>
        </x14:conditionalFormatting>
        <x14:conditionalFormatting xmlns:xm="http://schemas.microsoft.com/office/excel/2006/main">
          <x14:cfRule type="expression" priority="1543" id="{DF6E1C48-D629-458F-97FA-0F7CAF558E4B}">
            <xm:f>AND(VLOOKUP(L17,Calendars!$O$1:$U$398,MATCH($X$1,Calendars!$O$1:$U$1,0),FALSE)="",L16=0)</xm:f>
            <x14:dxf>
              <fill>
                <patternFill>
                  <bgColor theme="7" tint="0.79998168889431442"/>
                </patternFill>
              </fill>
            </x14:dxf>
          </x14:cfRule>
          <xm:sqref>L16:N16</xm:sqref>
        </x14:conditionalFormatting>
        <x14:conditionalFormatting xmlns:xm="http://schemas.microsoft.com/office/excel/2006/main">
          <x14:cfRule type="expression" priority="1532" id="{3B87553F-3F4F-4054-839A-C8350BFB5501}">
            <xm:f>VLOOKUP(L17,Calendars!$O$1:$U$398,MATCH($X$1,Calendars!$O$1:$U$1,0),FALSE)="Non Contract"</xm:f>
            <x14:dxf>
              <fill>
                <patternFill patternType="lightDown"/>
              </fill>
              <border>
                <bottom/>
              </border>
            </x14:dxf>
          </x14:cfRule>
          <x14:cfRule type="expression" priority="1541" id="{B45DD816-47F3-4562-B4A0-5DF204516CB4}">
            <xm:f>VLOOKUP(L17,Calendars!$O$1:$U$398,MATCH($X$1,Calendars!$O$1:$U$1,0),FALSE)="Holiday"</xm:f>
            <x14:dxf>
              <fill>
                <patternFill>
                  <bgColor rgb="FFFF99FF"/>
                </patternFill>
              </fill>
              <border>
                <bottom/>
              </border>
            </x14:dxf>
          </x14:cfRule>
          <xm:sqref>L16:N16</xm:sqref>
        </x14:conditionalFormatting>
        <x14:conditionalFormatting xmlns:xm="http://schemas.microsoft.com/office/excel/2006/main">
          <x14:cfRule type="expression" priority="1521" id="{7E5606C6-DF11-4DE9-95D7-85536F07C63A}">
            <xm:f>AND(VLOOKUP(J19,Calendars!$O$1:$U$398,MATCH($X$1,Calendars!$O$1:$U$1,0),FALSE)="Non Contract",$C$5&gt;0)</xm:f>
            <x14:dxf>
              <fill>
                <patternFill patternType="solid">
                  <fgColor theme="4" tint="0.79998168889431442"/>
                  <bgColor theme="8" tint="0.79995117038483843"/>
                </patternFill>
              </fill>
            </x14:dxf>
          </x14:cfRule>
          <xm:sqref>J18</xm:sqref>
        </x14:conditionalFormatting>
        <x14:conditionalFormatting xmlns:xm="http://schemas.microsoft.com/office/excel/2006/main">
          <x14:cfRule type="expression" priority="1531" id="{06F4A009-3C5E-482D-AA9A-331E325822D8}">
            <xm:f>AND(VLOOKUP(J19,Calendars!$O$1:$U$398,MATCH($X$1,Calendars!$O$1:$U$1,0),FALSE)="",J18=0)</xm:f>
            <x14:dxf>
              <fill>
                <patternFill>
                  <bgColor theme="7" tint="0.79998168889431442"/>
                </patternFill>
              </fill>
            </x14:dxf>
          </x14:cfRule>
          <xm:sqref>J18</xm:sqref>
        </x14:conditionalFormatting>
        <x14:conditionalFormatting xmlns:xm="http://schemas.microsoft.com/office/excel/2006/main">
          <x14:cfRule type="expression" priority="1520" id="{847D2B42-57A2-43DF-9DC1-85CBBE242E4C}">
            <xm:f>VLOOKUP(J19,Calendars!$O$1:$U$398,MATCH($X$1,Calendars!$O$1:$U$1,0),FALSE)="Non Contract"</xm:f>
            <x14:dxf>
              <fill>
                <patternFill patternType="lightDown"/>
              </fill>
              <border>
                <bottom/>
              </border>
            </x14:dxf>
          </x14:cfRule>
          <x14:cfRule type="expression" priority="1529" id="{7CC2C078-5587-4F55-9201-89F45BC5251F}">
            <xm:f>VLOOKUP(J19,Calendars!$O$1:$U$398,MATCH($X$1,Calendars!$O$1:$U$1,0),FALSE)="Holiday"</xm:f>
            <x14:dxf>
              <fill>
                <patternFill>
                  <bgColor rgb="FFFF99FF"/>
                </patternFill>
              </fill>
              <border>
                <bottom/>
              </border>
            </x14:dxf>
          </x14:cfRule>
          <xm:sqref>J18</xm:sqref>
        </x14:conditionalFormatting>
        <x14:conditionalFormatting xmlns:xm="http://schemas.microsoft.com/office/excel/2006/main">
          <x14:cfRule type="expression" priority="1509" id="{CBC1FB5D-D3AB-4C1A-ABF7-721DD680AA45}">
            <xm:f>AND(VLOOKUP(K19,Calendars!$O$1:$U$398,MATCH($X$1,Calendars!$O$1:$U$1,0),FALSE)="Non Contract",$C$5&gt;0)</xm:f>
            <x14:dxf>
              <fill>
                <patternFill patternType="solid">
                  <fgColor theme="4" tint="0.79998168889431442"/>
                  <bgColor theme="8" tint="0.79995117038483843"/>
                </patternFill>
              </fill>
            </x14:dxf>
          </x14:cfRule>
          <xm:sqref>K18</xm:sqref>
        </x14:conditionalFormatting>
        <x14:conditionalFormatting xmlns:xm="http://schemas.microsoft.com/office/excel/2006/main">
          <x14:cfRule type="expression" priority="1519" id="{17C7F735-E5C2-4793-81EE-69A4B96FAC89}">
            <xm:f>AND(VLOOKUP(K19,Calendars!$O$1:$U$398,MATCH($X$1,Calendars!$O$1:$U$1,0),FALSE)="",K18=0)</xm:f>
            <x14:dxf>
              <fill>
                <patternFill>
                  <bgColor theme="7" tint="0.79998168889431442"/>
                </patternFill>
              </fill>
            </x14:dxf>
          </x14:cfRule>
          <xm:sqref>K18</xm:sqref>
        </x14:conditionalFormatting>
        <x14:conditionalFormatting xmlns:xm="http://schemas.microsoft.com/office/excel/2006/main">
          <x14:cfRule type="expression" priority="1508" id="{50BE2A02-780A-40A7-9694-76F2D36B7386}">
            <xm:f>VLOOKUP(K19,Calendars!$O$1:$U$398,MATCH($X$1,Calendars!$O$1:$U$1,0),FALSE)="Non Contract"</xm:f>
            <x14:dxf>
              <fill>
                <patternFill patternType="lightDown"/>
              </fill>
              <border>
                <bottom/>
              </border>
            </x14:dxf>
          </x14:cfRule>
          <x14:cfRule type="expression" priority="1517" id="{395AA27A-5DBA-48F7-987A-C704E870B27F}">
            <xm:f>VLOOKUP(K19,Calendars!$O$1:$U$398,MATCH($X$1,Calendars!$O$1:$U$1,0),FALSE)="Holiday"</xm:f>
            <x14:dxf>
              <fill>
                <patternFill>
                  <bgColor rgb="FFFF99FF"/>
                </patternFill>
              </fill>
              <border>
                <bottom/>
              </border>
            </x14:dxf>
          </x14:cfRule>
          <xm:sqref>K18</xm:sqref>
        </x14:conditionalFormatting>
        <x14:conditionalFormatting xmlns:xm="http://schemas.microsoft.com/office/excel/2006/main">
          <x14:cfRule type="expression" priority="1497" id="{FE27323D-E6DC-46BD-86A2-ADF9AF6A78DB}">
            <xm:f>AND(VLOOKUP(L19,Calendars!$O$1:$U$398,MATCH($X$1,Calendars!$O$1:$U$1,0),FALSE)="Non Contract",$C$5&gt;0)</xm:f>
            <x14:dxf>
              <fill>
                <patternFill patternType="solid">
                  <fgColor theme="4" tint="0.79998168889431442"/>
                  <bgColor theme="8" tint="0.79995117038483843"/>
                </patternFill>
              </fill>
            </x14:dxf>
          </x14:cfRule>
          <xm:sqref>L18:N18</xm:sqref>
        </x14:conditionalFormatting>
        <x14:conditionalFormatting xmlns:xm="http://schemas.microsoft.com/office/excel/2006/main">
          <x14:cfRule type="expression" priority="1507" id="{3A56D2E4-0C8B-4674-8F6D-E33A896FAA9A}">
            <xm:f>AND(VLOOKUP(L19,Calendars!$O$1:$U$398,MATCH($X$1,Calendars!$O$1:$U$1,0),FALSE)="",L18=0)</xm:f>
            <x14:dxf>
              <fill>
                <patternFill>
                  <bgColor theme="7" tint="0.79998168889431442"/>
                </patternFill>
              </fill>
            </x14:dxf>
          </x14:cfRule>
          <xm:sqref>L18:N18</xm:sqref>
        </x14:conditionalFormatting>
        <x14:conditionalFormatting xmlns:xm="http://schemas.microsoft.com/office/excel/2006/main">
          <x14:cfRule type="expression" priority="1496" id="{6F539411-D9E0-47D5-8E97-593700017D03}">
            <xm:f>VLOOKUP(L19,Calendars!$O$1:$U$398,MATCH($X$1,Calendars!$O$1:$U$1,0),FALSE)="Non Contract"</xm:f>
            <x14:dxf>
              <fill>
                <patternFill patternType="lightDown"/>
              </fill>
              <border>
                <bottom/>
              </border>
            </x14:dxf>
          </x14:cfRule>
          <x14:cfRule type="expression" priority="1505" id="{2C99E590-7B90-4000-BA6C-87B8019FD43E}">
            <xm:f>VLOOKUP(L19,Calendars!$O$1:$U$398,MATCH($X$1,Calendars!$O$1:$U$1,0),FALSE)="Holiday"</xm:f>
            <x14:dxf>
              <fill>
                <patternFill>
                  <bgColor rgb="FFFF99FF"/>
                </patternFill>
              </fill>
              <border>
                <bottom/>
              </border>
            </x14:dxf>
          </x14:cfRule>
          <xm:sqref>L18:N18</xm:sqref>
        </x14:conditionalFormatting>
        <x14:conditionalFormatting xmlns:xm="http://schemas.microsoft.com/office/excel/2006/main">
          <x14:cfRule type="expression" priority="1485" id="{5595E9F9-9FF9-48FE-8F58-81BFB1429A48}">
            <xm:f>AND(VLOOKUP(J21,Calendars!$O$1:$U$398,MATCH($X$1,Calendars!$O$1:$U$1,0),FALSE)="Non Contract",$C$5&gt;0)</xm:f>
            <x14:dxf>
              <fill>
                <patternFill patternType="solid">
                  <fgColor theme="4" tint="0.79998168889431442"/>
                  <bgColor theme="8" tint="0.79995117038483843"/>
                </patternFill>
              </fill>
            </x14:dxf>
          </x14:cfRule>
          <xm:sqref>J20</xm:sqref>
        </x14:conditionalFormatting>
        <x14:conditionalFormatting xmlns:xm="http://schemas.microsoft.com/office/excel/2006/main">
          <x14:cfRule type="expression" priority="1495" id="{95691399-AF75-47CC-AA23-E1C721BF3FEC}">
            <xm:f>AND(VLOOKUP(J21,Calendars!$O$1:$U$398,MATCH($X$1,Calendars!$O$1:$U$1,0),FALSE)="",J20=0)</xm:f>
            <x14:dxf>
              <fill>
                <patternFill>
                  <bgColor theme="7" tint="0.79998168889431442"/>
                </patternFill>
              </fill>
            </x14:dxf>
          </x14:cfRule>
          <xm:sqref>J20</xm:sqref>
        </x14:conditionalFormatting>
        <x14:conditionalFormatting xmlns:xm="http://schemas.microsoft.com/office/excel/2006/main">
          <x14:cfRule type="expression" priority="1484" id="{A650DE7F-F527-4114-A586-1632052C3FD3}">
            <xm:f>VLOOKUP(J21,Calendars!$O$1:$U$398,MATCH($X$1,Calendars!$O$1:$U$1,0),FALSE)="Non Contract"</xm:f>
            <x14:dxf>
              <fill>
                <patternFill patternType="lightDown"/>
              </fill>
              <border>
                <bottom/>
              </border>
            </x14:dxf>
          </x14:cfRule>
          <x14:cfRule type="expression" priority="1493" id="{FBF7FC30-CB0A-4E08-9B15-7BB2F28186A5}">
            <xm:f>VLOOKUP(J21,Calendars!$O$1:$U$398,MATCH($X$1,Calendars!$O$1:$U$1,0),FALSE)="Holiday"</xm:f>
            <x14:dxf>
              <fill>
                <patternFill>
                  <bgColor rgb="FFFF99FF"/>
                </patternFill>
              </fill>
              <border>
                <bottom/>
              </border>
            </x14:dxf>
          </x14:cfRule>
          <xm:sqref>J20</xm:sqref>
        </x14:conditionalFormatting>
        <x14:conditionalFormatting xmlns:xm="http://schemas.microsoft.com/office/excel/2006/main">
          <x14:cfRule type="expression" priority="1473" id="{D7C3EAC7-DCA0-462B-A004-8AD7263BC43E}">
            <xm:f>AND(VLOOKUP(K21,Calendars!$O$1:$U$398,MATCH($X$1,Calendars!$O$1:$U$1,0),FALSE)="Non Contract",$C$5&gt;0)</xm:f>
            <x14:dxf>
              <fill>
                <patternFill patternType="solid">
                  <fgColor theme="4" tint="0.79998168889431442"/>
                  <bgColor theme="8" tint="0.79995117038483843"/>
                </patternFill>
              </fill>
            </x14:dxf>
          </x14:cfRule>
          <xm:sqref>K20</xm:sqref>
        </x14:conditionalFormatting>
        <x14:conditionalFormatting xmlns:xm="http://schemas.microsoft.com/office/excel/2006/main">
          <x14:cfRule type="expression" priority="1483" id="{643262AA-92DE-4A3C-AD72-FA60B4D6F7FA}">
            <xm:f>AND(VLOOKUP(K21,Calendars!$O$1:$U$398,MATCH($X$1,Calendars!$O$1:$U$1,0),FALSE)="",K20=0)</xm:f>
            <x14:dxf>
              <fill>
                <patternFill>
                  <bgColor theme="7" tint="0.79998168889431442"/>
                </patternFill>
              </fill>
            </x14:dxf>
          </x14:cfRule>
          <xm:sqref>K20</xm:sqref>
        </x14:conditionalFormatting>
        <x14:conditionalFormatting xmlns:xm="http://schemas.microsoft.com/office/excel/2006/main">
          <x14:cfRule type="expression" priority="1472" id="{AE238A62-702E-4F20-883C-27B22BFDA516}">
            <xm:f>VLOOKUP(K21,Calendars!$O$1:$U$398,MATCH($X$1,Calendars!$O$1:$U$1,0),FALSE)="Non Contract"</xm:f>
            <x14:dxf>
              <fill>
                <patternFill patternType="lightDown"/>
              </fill>
              <border>
                <bottom/>
              </border>
            </x14:dxf>
          </x14:cfRule>
          <x14:cfRule type="expression" priority="1481" id="{D2B46CD5-452A-4F99-A8C7-094391FFFB3C}">
            <xm:f>VLOOKUP(K21,Calendars!$O$1:$U$398,MATCH($X$1,Calendars!$O$1:$U$1,0),FALSE)="Holiday"</xm:f>
            <x14:dxf>
              <fill>
                <patternFill>
                  <bgColor rgb="FFFF99FF"/>
                </patternFill>
              </fill>
              <border>
                <bottom/>
              </border>
            </x14:dxf>
          </x14:cfRule>
          <xm:sqref>K20</xm:sqref>
        </x14:conditionalFormatting>
        <x14:conditionalFormatting xmlns:xm="http://schemas.microsoft.com/office/excel/2006/main">
          <x14:cfRule type="expression" priority="1461" id="{5571A1E8-3C93-4162-AE01-8AA20D9F9CF9}">
            <xm:f>AND(VLOOKUP(L21,Calendars!$O$1:$U$398,MATCH($X$1,Calendars!$O$1:$U$1,0),FALSE)="Non Contract",$C$5&gt;0)</xm:f>
            <x14:dxf>
              <fill>
                <patternFill patternType="solid">
                  <fgColor theme="4" tint="0.79998168889431442"/>
                  <bgColor theme="8" tint="0.79995117038483843"/>
                </patternFill>
              </fill>
            </x14:dxf>
          </x14:cfRule>
          <xm:sqref>L20:N20</xm:sqref>
        </x14:conditionalFormatting>
        <x14:conditionalFormatting xmlns:xm="http://schemas.microsoft.com/office/excel/2006/main">
          <x14:cfRule type="expression" priority="1471" id="{10FC2602-13D6-4B10-AE91-91E53DABE2DE}">
            <xm:f>AND(VLOOKUP(L21,Calendars!$O$1:$U$398,MATCH($X$1,Calendars!$O$1:$U$1,0),FALSE)="",L20=0)</xm:f>
            <x14:dxf>
              <fill>
                <patternFill>
                  <bgColor theme="7" tint="0.79998168889431442"/>
                </patternFill>
              </fill>
            </x14:dxf>
          </x14:cfRule>
          <xm:sqref>L20:N20</xm:sqref>
        </x14:conditionalFormatting>
        <x14:conditionalFormatting xmlns:xm="http://schemas.microsoft.com/office/excel/2006/main">
          <x14:cfRule type="expression" priority="1460" id="{563194AB-E1F4-48ED-A426-26C540DA3DE6}">
            <xm:f>VLOOKUP(L21,Calendars!$O$1:$U$398,MATCH($X$1,Calendars!$O$1:$U$1,0),FALSE)="Non Contract"</xm:f>
            <x14:dxf>
              <fill>
                <patternFill patternType="lightDown"/>
              </fill>
              <border>
                <bottom/>
              </border>
            </x14:dxf>
          </x14:cfRule>
          <x14:cfRule type="expression" priority="1469" id="{30269260-6647-4CCE-A7D8-247F96DB9BA4}">
            <xm:f>VLOOKUP(L21,Calendars!$O$1:$U$398,MATCH($X$1,Calendars!$O$1:$U$1,0),FALSE)="Holiday"</xm:f>
            <x14:dxf>
              <fill>
                <patternFill>
                  <bgColor rgb="FFFF99FF"/>
                </patternFill>
              </fill>
              <border>
                <bottom/>
              </border>
            </x14:dxf>
          </x14:cfRule>
          <xm:sqref>L20:N20</xm:sqref>
        </x14:conditionalFormatting>
        <x14:conditionalFormatting xmlns:xm="http://schemas.microsoft.com/office/excel/2006/main">
          <x14:cfRule type="expression" priority="1449" id="{E8136FB2-251E-46C5-BE4F-5F2D5F3A9729}">
            <xm:f>AND(VLOOKUP(J23,Calendars!$O$1:$U$398,MATCH($X$1,Calendars!$O$1:$U$1,0),FALSE)="Non Contract",$C$5&gt;0)</xm:f>
            <x14:dxf>
              <fill>
                <patternFill patternType="solid">
                  <fgColor theme="4" tint="0.79998168889431442"/>
                  <bgColor theme="8" tint="0.79995117038483843"/>
                </patternFill>
              </fill>
            </x14:dxf>
          </x14:cfRule>
          <xm:sqref>J22</xm:sqref>
        </x14:conditionalFormatting>
        <x14:conditionalFormatting xmlns:xm="http://schemas.microsoft.com/office/excel/2006/main">
          <x14:cfRule type="expression" priority="1459" id="{C4A30AC0-E9ED-4C56-BAB2-3DD8DDCB2F24}">
            <xm:f>AND(VLOOKUP(J23,Calendars!$O$1:$U$398,MATCH($X$1,Calendars!$O$1:$U$1,0),FALSE)="",J22=0)</xm:f>
            <x14:dxf>
              <fill>
                <patternFill>
                  <bgColor theme="7" tint="0.79998168889431442"/>
                </patternFill>
              </fill>
            </x14:dxf>
          </x14:cfRule>
          <xm:sqref>J22</xm:sqref>
        </x14:conditionalFormatting>
        <x14:conditionalFormatting xmlns:xm="http://schemas.microsoft.com/office/excel/2006/main">
          <x14:cfRule type="expression" priority="1448" id="{0C6E0392-774B-4411-BEA2-140E60F57FC8}">
            <xm:f>VLOOKUP(J23,Calendars!$O$1:$U$398,MATCH($X$1,Calendars!$O$1:$U$1,0),FALSE)="Non Contract"</xm:f>
            <x14:dxf>
              <fill>
                <patternFill patternType="lightDown"/>
              </fill>
              <border>
                <bottom/>
              </border>
            </x14:dxf>
          </x14:cfRule>
          <x14:cfRule type="expression" priority="1457" id="{3134A3B2-8AEA-40E7-8F80-FA0B2A2E23BC}">
            <xm:f>VLOOKUP(J23,Calendars!$O$1:$U$398,MATCH($X$1,Calendars!$O$1:$U$1,0),FALSE)="Holiday"</xm:f>
            <x14:dxf>
              <fill>
                <patternFill>
                  <bgColor rgb="FFFF99FF"/>
                </patternFill>
              </fill>
              <border>
                <bottom/>
              </border>
            </x14:dxf>
          </x14:cfRule>
          <xm:sqref>J22</xm:sqref>
        </x14:conditionalFormatting>
        <x14:conditionalFormatting xmlns:xm="http://schemas.microsoft.com/office/excel/2006/main">
          <x14:cfRule type="expression" priority="1437" id="{4AB3277E-8ED0-44F8-A5FE-915BB7F7920D}">
            <xm:f>AND(VLOOKUP(K23,Calendars!$O$1:$U$398,MATCH($X$1,Calendars!$O$1:$U$1,0),FALSE)="Non Contract",$C$5&gt;0)</xm:f>
            <x14:dxf>
              <fill>
                <patternFill patternType="solid">
                  <fgColor theme="4" tint="0.79998168889431442"/>
                  <bgColor theme="8" tint="0.79995117038483843"/>
                </patternFill>
              </fill>
            </x14:dxf>
          </x14:cfRule>
          <xm:sqref>K22</xm:sqref>
        </x14:conditionalFormatting>
        <x14:conditionalFormatting xmlns:xm="http://schemas.microsoft.com/office/excel/2006/main">
          <x14:cfRule type="expression" priority="1447" id="{B84F0D49-08DC-483C-A311-963012088F78}">
            <xm:f>AND(VLOOKUP(K23,Calendars!$O$1:$U$398,MATCH($X$1,Calendars!$O$1:$U$1,0),FALSE)="",K22=0)</xm:f>
            <x14:dxf>
              <fill>
                <patternFill>
                  <bgColor theme="7" tint="0.79998168889431442"/>
                </patternFill>
              </fill>
            </x14:dxf>
          </x14:cfRule>
          <xm:sqref>K22</xm:sqref>
        </x14:conditionalFormatting>
        <x14:conditionalFormatting xmlns:xm="http://schemas.microsoft.com/office/excel/2006/main">
          <x14:cfRule type="expression" priority="1436" id="{95276136-28AA-45AD-A158-A50C1D955427}">
            <xm:f>VLOOKUP(K23,Calendars!$O$1:$U$398,MATCH($X$1,Calendars!$O$1:$U$1,0),FALSE)="Non Contract"</xm:f>
            <x14:dxf>
              <fill>
                <patternFill patternType="lightDown"/>
              </fill>
              <border>
                <bottom/>
              </border>
            </x14:dxf>
          </x14:cfRule>
          <x14:cfRule type="expression" priority="1445" id="{5879250A-3A18-4EEC-878F-74FC4A6976D6}">
            <xm:f>VLOOKUP(K23,Calendars!$O$1:$U$398,MATCH($X$1,Calendars!$O$1:$U$1,0),FALSE)="Holiday"</xm:f>
            <x14:dxf>
              <fill>
                <patternFill>
                  <bgColor rgb="FFFF99FF"/>
                </patternFill>
              </fill>
              <border>
                <bottom/>
              </border>
            </x14:dxf>
          </x14:cfRule>
          <xm:sqref>K22</xm:sqref>
        </x14:conditionalFormatting>
        <x14:conditionalFormatting xmlns:xm="http://schemas.microsoft.com/office/excel/2006/main">
          <x14:cfRule type="expression" priority="1425" id="{406F0CDB-8EA9-4DF4-8ABA-F47EE0BFB832}">
            <xm:f>AND(VLOOKUP(L23,Calendars!$O$1:$U$398,MATCH($X$1,Calendars!$O$1:$U$1,0),FALSE)="Non Contract",$C$5&gt;0)</xm:f>
            <x14:dxf>
              <fill>
                <patternFill patternType="solid">
                  <fgColor theme="4" tint="0.79998168889431442"/>
                  <bgColor theme="8" tint="0.79995117038483843"/>
                </patternFill>
              </fill>
            </x14:dxf>
          </x14:cfRule>
          <xm:sqref>L22:N22</xm:sqref>
        </x14:conditionalFormatting>
        <x14:conditionalFormatting xmlns:xm="http://schemas.microsoft.com/office/excel/2006/main">
          <x14:cfRule type="expression" priority="1435" id="{3B91D45C-0A1E-4186-9B34-86D119167D42}">
            <xm:f>AND(VLOOKUP(L23,Calendars!$O$1:$U$398,MATCH($X$1,Calendars!$O$1:$U$1,0),FALSE)="",L22=0)</xm:f>
            <x14:dxf>
              <fill>
                <patternFill>
                  <bgColor theme="7" tint="0.79998168889431442"/>
                </patternFill>
              </fill>
            </x14:dxf>
          </x14:cfRule>
          <xm:sqref>L22:N22</xm:sqref>
        </x14:conditionalFormatting>
        <x14:conditionalFormatting xmlns:xm="http://schemas.microsoft.com/office/excel/2006/main">
          <x14:cfRule type="expression" priority="1424" id="{50C4B878-1292-4943-B428-F5A5D943372A}">
            <xm:f>VLOOKUP(L23,Calendars!$O$1:$U$398,MATCH($X$1,Calendars!$O$1:$U$1,0),FALSE)="Non Contract"</xm:f>
            <x14:dxf>
              <fill>
                <patternFill patternType="lightDown"/>
              </fill>
              <border>
                <bottom/>
              </border>
            </x14:dxf>
          </x14:cfRule>
          <x14:cfRule type="expression" priority="1433" id="{21CA2E80-9A95-40E8-A728-2528F0BE2496}">
            <xm:f>VLOOKUP(L23,Calendars!$O$1:$U$398,MATCH($X$1,Calendars!$O$1:$U$1,0),FALSE)="Holiday"</xm:f>
            <x14:dxf>
              <fill>
                <patternFill>
                  <bgColor rgb="FFFF99FF"/>
                </patternFill>
              </fill>
              <border>
                <bottom/>
              </border>
            </x14:dxf>
          </x14:cfRule>
          <xm:sqref>L22:N22</xm:sqref>
        </x14:conditionalFormatting>
        <x14:conditionalFormatting xmlns:xm="http://schemas.microsoft.com/office/excel/2006/main">
          <x14:cfRule type="expression" priority="1413" id="{0808BABA-8278-4221-8CE6-F7F08F5CC46D}">
            <xm:f>AND(VLOOKUP(J25,Calendars!$O$1:$U$398,MATCH($X$1,Calendars!$O$1:$U$1,0),FALSE)="Non Contract",$C$5&gt;0)</xm:f>
            <x14:dxf>
              <fill>
                <patternFill patternType="solid">
                  <fgColor theme="4" tint="0.79998168889431442"/>
                  <bgColor theme="8" tint="0.79995117038483843"/>
                </patternFill>
              </fill>
            </x14:dxf>
          </x14:cfRule>
          <xm:sqref>J24</xm:sqref>
        </x14:conditionalFormatting>
        <x14:conditionalFormatting xmlns:xm="http://schemas.microsoft.com/office/excel/2006/main">
          <x14:cfRule type="expression" priority="1423" id="{28475029-5A9B-4064-9564-75196A0ED58E}">
            <xm:f>AND(VLOOKUP(J25,Calendars!$O$1:$U$398,MATCH($X$1,Calendars!$O$1:$U$1,0),FALSE)="",J24=0)</xm:f>
            <x14:dxf>
              <fill>
                <patternFill>
                  <bgColor theme="7" tint="0.79998168889431442"/>
                </patternFill>
              </fill>
            </x14:dxf>
          </x14:cfRule>
          <xm:sqref>J24</xm:sqref>
        </x14:conditionalFormatting>
        <x14:conditionalFormatting xmlns:xm="http://schemas.microsoft.com/office/excel/2006/main">
          <x14:cfRule type="expression" priority="1412" id="{1DEE9D2D-8414-4914-8050-39B85B2174F5}">
            <xm:f>VLOOKUP(J25,Calendars!$O$1:$U$398,MATCH($X$1,Calendars!$O$1:$U$1,0),FALSE)="Non Contract"</xm:f>
            <x14:dxf>
              <fill>
                <patternFill patternType="lightDown"/>
              </fill>
              <border>
                <bottom/>
              </border>
            </x14:dxf>
          </x14:cfRule>
          <x14:cfRule type="expression" priority="1421" id="{2E210ED0-AA24-4A19-BD8A-E82A5B20B132}">
            <xm:f>VLOOKUP(J25,Calendars!$O$1:$U$398,MATCH($X$1,Calendars!$O$1:$U$1,0),FALSE)="Holiday"</xm:f>
            <x14:dxf>
              <fill>
                <patternFill>
                  <bgColor rgb="FFFF99FF"/>
                </patternFill>
              </fill>
              <border>
                <bottom/>
              </border>
            </x14:dxf>
          </x14:cfRule>
          <xm:sqref>J24</xm:sqref>
        </x14:conditionalFormatting>
        <x14:conditionalFormatting xmlns:xm="http://schemas.microsoft.com/office/excel/2006/main">
          <x14:cfRule type="expression" priority="1401" id="{F174915B-D0A2-41DB-97FB-9001FD2BF5CE}">
            <xm:f>AND(VLOOKUP(K25,Calendars!$O$1:$U$398,MATCH($X$1,Calendars!$O$1:$U$1,0),FALSE)="Non Contract",$C$5&gt;0)</xm:f>
            <x14:dxf>
              <fill>
                <patternFill patternType="solid">
                  <fgColor theme="4" tint="0.79998168889431442"/>
                  <bgColor theme="8" tint="0.79995117038483843"/>
                </patternFill>
              </fill>
            </x14:dxf>
          </x14:cfRule>
          <xm:sqref>K24</xm:sqref>
        </x14:conditionalFormatting>
        <x14:conditionalFormatting xmlns:xm="http://schemas.microsoft.com/office/excel/2006/main">
          <x14:cfRule type="expression" priority="1411" id="{A60C07BE-7538-4083-BA88-C5A33BCA4EFD}">
            <xm:f>AND(VLOOKUP(K25,Calendars!$O$1:$U$398,MATCH($X$1,Calendars!$O$1:$U$1,0),FALSE)="",K24=0)</xm:f>
            <x14:dxf>
              <fill>
                <patternFill>
                  <bgColor theme="7" tint="0.79998168889431442"/>
                </patternFill>
              </fill>
            </x14:dxf>
          </x14:cfRule>
          <xm:sqref>K24</xm:sqref>
        </x14:conditionalFormatting>
        <x14:conditionalFormatting xmlns:xm="http://schemas.microsoft.com/office/excel/2006/main">
          <x14:cfRule type="expression" priority="1400" id="{6EF26F99-F0F4-4E13-B7D6-F565DAA7465C}">
            <xm:f>VLOOKUP(K25,Calendars!$O$1:$U$398,MATCH($X$1,Calendars!$O$1:$U$1,0),FALSE)="Non Contract"</xm:f>
            <x14:dxf>
              <fill>
                <patternFill patternType="lightDown"/>
              </fill>
              <border>
                <bottom/>
              </border>
            </x14:dxf>
          </x14:cfRule>
          <x14:cfRule type="expression" priority="1409" id="{0B976257-B599-47B3-AF08-66F02A3A8EC1}">
            <xm:f>VLOOKUP(K25,Calendars!$O$1:$U$398,MATCH($X$1,Calendars!$O$1:$U$1,0),FALSE)="Holiday"</xm:f>
            <x14:dxf>
              <fill>
                <patternFill>
                  <bgColor rgb="FFFF99FF"/>
                </patternFill>
              </fill>
              <border>
                <bottom/>
              </border>
            </x14:dxf>
          </x14:cfRule>
          <xm:sqref>K24</xm:sqref>
        </x14:conditionalFormatting>
        <x14:conditionalFormatting xmlns:xm="http://schemas.microsoft.com/office/excel/2006/main">
          <x14:cfRule type="expression" priority="1389" id="{81DD8B83-108A-4807-9C39-801C7C086E6B}">
            <xm:f>AND(VLOOKUP(L25,Calendars!$O$1:$U$398,MATCH($X$1,Calendars!$O$1:$U$1,0),FALSE)="Non Contract",$C$5&gt;0)</xm:f>
            <x14:dxf>
              <fill>
                <patternFill patternType="solid">
                  <fgColor theme="4" tint="0.79998168889431442"/>
                  <bgColor theme="8" tint="0.79995117038483843"/>
                </patternFill>
              </fill>
            </x14:dxf>
          </x14:cfRule>
          <xm:sqref>L24:N24</xm:sqref>
        </x14:conditionalFormatting>
        <x14:conditionalFormatting xmlns:xm="http://schemas.microsoft.com/office/excel/2006/main">
          <x14:cfRule type="expression" priority="1399" id="{AB68E71A-F972-450B-86CB-8F5C223E9E79}">
            <xm:f>AND(VLOOKUP(L25,Calendars!$O$1:$U$398,MATCH($X$1,Calendars!$O$1:$U$1,0),FALSE)="",L24=0)</xm:f>
            <x14:dxf>
              <fill>
                <patternFill>
                  <bgColor theme="7" tint="0.79998168889431442"/>
                </patternFill>
              </fill>
            </x14:dxf>
          </x14:cfRule>
          <xm:sqref>L24:N24</xm:sqref>
        </x14:conditionalFormatting>
        <x14:conditionalFormatting xmlns:xm="http://schemas.microsoft.com/office/excel/2006/main">
          <x14:cfRule type="expression" priority="1388" id="{6585B3CF-D62A-4EDD-BD83-87781FA9B152}">
            <xm:f>VLOOKUP(L25,Calendars!$O$1:$U$398,MATCH($X$1,Calendars!$O$1:$U$1,0),FALSE)="Non Contract"</xm:f>
            <x14:dxf>
              <fill>
                <patternFill patternType="lightDown"/>
              </fill>
              <border>
                <bottom/>
              </border>
            </x14:dxf>
          </x14:cfRule>
          <x14:cfRule type="expression" priority="1397" id="{84C82455-8977-4DC9-BB7D-FF504D4FFC10}">
            <xm:f>VLOOKUP(L25,Calendars!$O$1:$U$398,MATCH($X$1,Calendars!$O$1:$U$1,0),FALSE)="Holiday"</xm:f>
            <x14:dxf>
              <fill>
                <patternFill>
                  <bgColor rgb="FFFF99FF"/>
                </patternFill>
              </fill>
              <border>
                <bottom/>
              </border>
            </x14:dxf>
          </x14:cfRule>
          <xm:sqref>L24:N24</xm:sqref>
        </x14:conditionalFormatting>
        <x14:conditionalFormatting xmlns:xm="http://schemas.microsoft.com/office/excel/2006/main">
          <x14:cfRule type="expression" priority="1341" id="{4A70145B-B72F-4F2F-9450-08C94ABC89CC}">
            <xm:f>AND(VLOOKUP(Q19,Calendars!$O$1:$U$398,MATCH($X$1,Calendars!$O$1:$U$1,0),FALSE)="Non Contract",$C$5&gt;0)</xm:f>
            <x14:dxf>
              <fill>
                <patternFill patternType="solid">
                  <fgColor theme="4" tint="0.79998168889431442"/>
                  <bgColor theme="8" tint="0.79995117038483843"/>
                </patternFill>
              </fill>
            </x14:dxf>
          </x14:cfRule>
          <xm:sqref>Q18</xm:sqref>
        </x14:conditionalFormatting>
        <x14:conditionalFormatting xmlns:xm="http://schemas.microsoft.com/office/excel/2006/main">
          <x14:cfRule type="expression" priority="1351" id="{268B6EB0-8537-4106-86D2-538C17211D8C}">
            <xm:f>AND(VLOOKUP(Q19,Calendars!$O$1:$U$398,MATCH($X$1,Calendars!$O$1:$U$1,0),FALSE)="",Q18=0)</xm:f>
            <x14:dxf>
              <fill>
                <patternFill>
                  <bgColor theme="7" tint="0.79998168889431442"/>
                </patternFill>
              </fill>
            </x14:dxf>
          </x14:cfRule>
          <xm:sqref>Q18</xm:sqref>
        </x14:conditionalFormatting>
        <x14:conditionalFormatting xmlns:xm="http://schemas.microsoft.com/office/excel/2006/main">
          <x14:cfRule type="expression" priority="1340" id="{157B507B-6161-489A-8238-15713F875271}">
            <xm:f>VLOOKUP(Q19,Calendars!$O$1:$U$398,MATCH($X$1,Calendars!$O$1:$U$1,0),FALSE)="Non Contract"</xm:f>
            <x14:dxf>
              <fill>
                <patternFill patternType="lightDown"/>
              </fill>
              <border>
                <bottom/>
              </border>
            </x14:dxf>
          </x14:cfRule>
          <x14:cfRule type="expression" priority="1349" id="{EE777CF1-2262-447A-B54C-38CDDF23B552}">
            <xm:f>VLOOKUP(Q19,Calendars!$O$1:$U$398,MATCH($X$1,Calendars!$O$1:$U$1,0),FALSE)="Holiday"</xm:f>
            <x14:dxf>
              <fill>
                <patternFill>
                  <bgColor rgb="FFFF99FF"/>
                </patternFill>
              </fill>
              <border>
                <bottom/>
              </border>
            </x14:dxf>
          </x14:cfRule>
          <xm:sqref>Q18</xm:sqref>
        </x14:conditionalFormatting>
        <x14:conditionalFormatting xmlns:xm="http://schemas.microsoft.com/office/excel/2006/main">
          <x14:cfRule type="expression" priority="1329" id="{21637859-D867-4127-B8A8-8E29D4CC50F1}">
            <xm:f>AND(VLOOKUP(R19,Calendars!$O$1:$U$398,MATCH($X$1,Calendars!$O$1:$U$1,0),FALSE)="Non Contract",$C$5&gt;0)</xm:f>
            <x14:dxf>
              <fill>
                <patternFill patternType="solid">
                  <fgColor theme="4" tint="0.79998168889431442"/>
                  <bgColor theme="8" tint="0.79995117038483843"/>
                </patternFill>
              </fill>
            </x14:dxf>
          </x14:cfRule>
          <xm:sqref>R18</xm:sqref>
        </x14:conditionalFormatting>
        <x14:conditionalFormatting xmlns:xm="http://schemas.microsoft.com/office/excel/2006/main">
          <x14:cfRule type="expression" priority="1339" id="{04D056D6-5A4C-4A7D-85BA-8895BA5B34F9}">
            <xm:f>AND(VLOOKUP(R19,Calendars!$O$1:$U$398,MATCH($X$1,Calendars!$O$1:$U$1,0),FALSE)="",R18=0)</xm:f>
            <x14:dxf>
              <fill>
                <patternFill>
                  <bgColor theme="7" tint="0.79998168889431442"/>
                </patternFill>
              </fill>
            </x14:dxf>
          </x14:cfRule>
          <xm:sqref>R18</xm:sqref>
        </x14:conditionalFormatting>
        <x14:conditionalFormatting xmlns:xm="http://schemas.microsoft.com/office/excel/2006/main">
          <x14:cfRule type="expression" priority="1328" id="{5A9125F9-B763-4C12-8E34-EA77DA40E9B3}">
            <xm:f>VLOOKUP(R19,Calendars!$O$1:$U$398,MATCH($X$1,Calendars!$O$1:$U$1,0),FALSE)="Non Contract"</xm:f>
            <x14:dxf>
              <fill>
                <patternFill patternType="lightDown"/>
              </fill>
              <border>
                <bottom/>
              </border>
            </x14:dxf>
          </x14:cfRule>
          <x14:cfRule type="expression" priority="1337" id="{4402142F-8496-4DD1-B5C7-C2615D5677BA}">
            <xm:f>VLOOKUP(R19,Calendars!$O$1:$U$398,MATCH($X$1,Calendars!$O$1:$U$1,0),FALSE)="Holiday"</xm:f>
            <x14:dxf>
              <fill>
                <patternFill>
                  <bgColor rgb="FFFF99FF"/>
                </patternFill>
              </fill>
              <border>
                <bottom/>
              </border>
            </x14:dxf>
          </x14:cfRule>
          <xm:sqref>R18</xm:sqref>
        </x14:conditionalFormatting>
        <x14:conditionalFormatting xmlns:xm="http://schemas.microsoft.com/office/excel/2006/main">
          <x14:cfRule type="expression" priority="1317" id="{0A3CAE37-67DB-4911-B8CE-740B7CE27C87}">
            <xm:f>AND(VLOOKUP(S19,Calendars!$O$1:$U$398,MATCH($X$1,Calendars!$O$1:$U$1,0),FALSE)="Non Contract",$C$5&gt;0)</xm:f>
            <x14:dxf>
              <fill>
                <patternFill patternType="solid">
                  <fgColor theme="4" tint="0.79998168889431442"/>
                  <bgColor theme="8" tint="0.79995117038483843"/>
                </patternFill>
              </fill>
            </x14:dxf>
          </x14:cfRule>
          <xm:sqref>S18:U18</xm:sqref>
        </x14:conditionalFormatting>
        <x14:conditionalFormatting xmlns:xm="http://schemas.microsoft.com/office/excel/2006/main">
          <x14:cfRule type="expression" priority="1327" id="{EDEF6156-5928-482F-A6A2-3AD085A2005D}">
            <xm:f>AND(VLOOKUP(S19,Calendars!$O$1:$U$398,MATCH($X$1,Calendars!$O$1:$U$1,0),FALSE)="",S18=0)</xm:f>
            <x14:dxf>
              <fill>
                <patternFill>
                  <bgColor theme="7" tint="0.79998168889431442"/>
                </patternFill>
              </fill>
            </x14:dxf>
          </x14:cfRule>
          <xm:sqref>S18:U18</xm:sqref>
        </x14:conditionalFormatting>
        <x14:conditionalFormatting xmlns:xm="http://schemas.microsoft.com/office/excel/2006/main">
          <x14:cfRule type="expression" priority="1316" id="{60AFFE2C-1829-4391-A317-C1DE97C66F32}">
            <xm:f>VLOOKUP(S19,Calendars!$O$1:$U$398,MATCH($X$1,Calendars!$O$1:$U$1,0),FALSE)="Non Contract"</xm:f>
            <x14:dxf>
              <fill>
                <patternFill patternType="lightDown"/>
              </fill>
              <border>
                <bottom/>
              </border>
            </x14:dxf>
          </x14:cfRule>
          <x14:cfRule type="expression" priority="1325" id="{E2264D1C-0BB2-49BC-9E13-747436A7E36A}">
            <xm:f>VLOOKUP(S19,Calendars!$O$1:$U$398,MATCH($X$1,Calendars!$O$1:$U$1,0),FALSE)="Holiday"</xm:f>
            <x14:dxf>
              <fill>
                <patternFill>
                  <bgColor rgb="FFFF99FF"/>
                </patternFill>
              </fill>
              <border>
                <bottom/>
              </border>
            </x14:dxf>
          </x14:cfRule>
          <xm:sqref>S18:U18</xm:sqref>
        </x14:conditionalFormatting>
        <x14:conditionalFormatting xmlns:xm="http://schemas.microsoft.com/office/excel/2006/main">
          <x14:cfRule type="expression" priority="1305" id="{AA00A826-B676-45B1-A8C1-FBEE32F0F8D3}">
            <xm:f>AND(VLOOKUP(Q21,Calendars!$O$1:$U$398,MATCH($X$1,Calendars!$O$1:$U$1,0),FALSE)="Non Contract",$C$5&gt;0)</xm:f>
            <x14:dxf>
              <fill>
                <patternFill patternType="solid">
                  <fgColor theme="4" tint="0.79998168889431442"/>
                  <bgColor theme="8" tint="0.79995117038483843"/>
                </patternFill>
              </fill>
            </x14:dxf>
          </x14:cfRule>
          <xm:sqref>Q20</xm:sqref>
        </x14:conditionalFormatting>
        <x14:conditionalFormatting xmlns:xm="http://schemas.microsoft.com/office/excel/2006/main">
          <x14:cfRule type="expression" priority="1315" id="{D0FC95EA-290E-4418-938D-73EBEBA3CFA6}">
            <xm:f>AND(VLOOKUP(Q21,Calendars!$O$1:$U$398,MATCH($X$1,Calendars!$O$1:$U$1,0),FALSE)="",Q20=0)</xm:f>
            <x14:dxf>
              <fill>
                <patternFill>
                  <bgColor theme="7" tint="0.79998168889431442"/>
                </patternFill>
              </fill>
            </x14:dxf>
          </x14:cfRule>
          <xm:sqref>Q20</xm:sqref>
        </x14:conditionalFormatting>
        <x14:conditionalFormatting xmlns:xm="http://schemas.microsoft.com/office/excel/2006/main">
          <x14:cfRule type="expression" priority="1304" id="{682D609E-2B55-4A22-9F43-DF8BA657108E}">
            <xm:f>VLOOKUP(Q21,Calendars!$O$1:$U$398,MATCH($X$1,Calendars!$O$1:$U$1,0),FALSE)="Non Contract"</xm:f>
            <x14:dxf>
              <fill>
                <patternFill patternType="lightDown"/>
              </fill>
              <border>
                <bottom/>
              </border>
            </x14:dxf>
          </x14:cfRule>
          <x14:cfRule type="expression" priority="1313" id="{A9D39633-40F5-47FD-984D-00BE0FD63E43}">
            <xm:f>VLOOKUP(Q21,Calendars!$O$1:$U$398,MATCH($X$1,Calendars!$O$1:$U$1,0),FALSE)="Holiday"</xm:f>
            <x14:dxf>
              <fill>
                <patternFill>
                  <bgColor rgb="FFFF99FF"/>
                </patternFill>
              </fill>
              <border>
                <bottom/>
              </border>
            </x14:dxf>
          </x14:cfRule>
          <xm:sqref>Q20</xm:sqref>
        </x14:conditionalFormatting>
        <x14:conditionalFormatting xmlns:xm="http://schemas.microsoft.com/office/excel/2006/main">
          <x14:cfRule type="expression" priority="1293" id="{DD451598-C74D-4672-A667-7270312DAAC7}">
            <xm:f>AND(VLOOKUP(R21,Calendars!$O$1:$U$398,MATCH($X$1,Calendars!$O$1:$U$1,0),FALSE)="Non Contract",$C$5&gt;0)</xm:f>
            <x14:dxf>
              <fill>
                <patternFill patternType="solid">
                  <fgColor theme="4" tint="0.79998168889431442"/>
                  <bgColor theme="8" tint="0.79995117038483843"/>
                </patternFill>
              </fill>
            </x14:dxf>
          </x14:cfRule>
          <xm:sqref>R20</xm:sqref>
        </x14:conditionalFormatting>
        <x14:conditionalFormatting xmlns:xm="http://schemas.microsoft.com/office/excel/2006/main">
          <x14:cfRule type="expression" priority="1303" id="{851D964A-C814-4887-A0E8-FD0819BAC8D3}">
            <xm:f>AND(VLOOKUP(R21,Calendars!$O$1:$U$398,MATCH($X$1,Calendars!$O$1:$U$1,0),FALSE)="",R20=0)</xm:f>
            <x14:dxf>
              <fill>
                <patternFill>
                  <bgColor theme="7" tint="0.79998168889431442"/>
                </patternFill>
              </fill>
            </x14:dxf>
          </x14:cfRule>
          <xm:sqref>R20</xm:sqref>
        </x14:conditionalFormatting>
        <x14:conditionalFormatting xmlns:xm="http://schemas.microsoft.com/office/excel/2006/main">
          <x14:cfRule type="expression" priority="1292" id="{31D24906-83A5-48C3-9F46-ACC8FBAAD8C9}">
            <xm:f>VLOOKUP(R21,Calendars!$O$1:$U$398,MATCH($X$1,Calendars!$O$1:$U$1,0),FALSE)="Non Contract"</xm:f>
            <x14:dxf>
              <fill>
                <patternFill patternType="lightDown"/>
              </fill>
              <border>
                <bottom/>
              </border>
            </x14:dxf>
          </x14:cfRule>
          <x14:cfRule type="expression" priority="1301" id="{6448CFAA-6C09-4E43-B31E-DA01A989AAE1}">
            <xm:f>VLOOKUP(R21,Calendars!$O$1:$U$398,MATCH($X$1,Calendars!$O$1:$U$1,0),FALSE)="Holiday"</xm:f>
            <x14:dxf>
              <fill>
                <patternFill>
                  <bgColor rgb="FFFF99FF"/>
                </patternFill>
              </fill>
              <border>
                <bottom/>
              </border>
            </x14:dxf>
          </x14:cfRule>
          <xm:sqref>R20</xm:sqref>
        </x14:conditionalFormatting>
        <x14:conditionalFormatting xmlns:xm="http://schemas.microsoft.com/office/excel/2006/main">
          <x14:cfRule type="expression" priority="1281" id="{7AB1E3D4-F391-4988-A86E-42593B409D29}">
            <xm:f>AND(VLOOKUP(S21,Calendars!$O$1:$U$398,MATCH($X$1,Calendars!$O$1:$U$1,0),FALSE)="Non Contract",$C$5&gt;0)</xm:f>
            <x14:dxf>
              <fill>
                <patternFill patternType="solid">
                  <fgColor theme="4" tint="0.79998168889431442"/>
                  <bgColor theme="8" tint="0.79995117038483843"/>
                </patternFill>
              </fill>
            </x14:dxf>
          </x14:cfRule>
          <xm:sqref>S20:U20</xm:sqref>
        </x14:conditionalFormatting>
        <x14:conditionalFormatting xmlns:xm="http://schemas.microsoft.com/office/excel/2006/main">
          <x14:cfRule type="expression" priority="1291" id="{38B34AD4-5415-44CE-BDE0-1602FE0BE6BA}">
            <xm:f>AND(VLOOKUP(S21,Calendars!$O$1:$U$398,MATCH($X$1,Calendars!$O$1:$U$1,0),FALSE)="",S20=0)</xm:f>
            <x14:dxf>
              <fill>
                <patternFill>
                  <bgColor theme="7" tint="0.79998168889431442"/>
                </patternFill>
              </fill>
            </x14:dxf>
          </x14:cfRule>
          <xm:sqref>S20:U20</xm:sqref>
        </x14:conditionalFormatting>
        <x14:conditionalFormatting xmlns:xm="http://schemas.microsoft.com/office/excel/2006/main">
          <x14:cfRule type="expression" priority="1280" id="{9AD6051F-2054-4917-8904-75EA6DF1C1C6}">
            <xm:f>VLOOKUP(S21,Calendars!$O$1:$U$398,MATCH($X$1,Calendars!$O$1:$U$1,0),FALSE)="Non Contract"</xm:f>
            <x14:dxf>
              <fill>
                <patternFill patternType="lightDown"/>
              </fill>
              <border>
                <bottom/>
              </border>
            </x14:dxf>
          </x14:cfRule>
          <x14:cfRule type="expression" priority="1289" id="{FB8DDCF1-D668-4EB7-8CEC-2C45D4E1A0C7}">
            <xm:f>VLOOKUP(S21,Calendars!$O$1:$U$398,MATCH($X$1,Calendars!$O$1:$U$1,0),FALSE)="Holiday"</xm:f>
            <x14:dxf>
              <fill>
                <patternFill>
                  <bgColor rgb="FFFF99FF"/>
                </patternFill>
              </fill>
              <border>
                <bottom/>
              </border>
            </x14:dxf>
          </x14:cfRule>
          <xm:sqref>S20:U20</xm:sqref>
        </x14:conditionalFormatting>
        <x14:conditionalFormatting xmlns:xm="http://schemas.microsoft.com/office/excel/2006/main">
          <x14:cfRule type="expression" priority="1269" id="{01EC431A-9328-47FB-9570-87BC88F30738}">
            <xm:f>AND(VLOOKUP(Q23,Calendars!$O$1:$U$398,MATCH($X$1,Calendars!$O$1:$U$1,0),FALSE)="Non Contract",$C$5&gt;0)</xm:f>
            <x14:dxf>
              <fill>
                <patternFill patternType="solid">
                  <fgColor theme="4" tint="0.79998168889431442"/>
                  <bgColor theme="8" tint="0.79995117038483843"/>
                </patternFill>
              </fill>
            </x14:dxf>
          </x14:cfRule>
          <xm:sqref>Q22</xm:sqref>
        </x14:conditionalFormatting>
        <x14:conditionalFormatting xmlns:xm="http://schemas.microsoft.com/office/excel/2006/main">
          <x14:cfRule type="expression" priority="1279" id="{763860F7-B47E-4777-8E92-3300ED06FC5E}">
            <xm:f>AND(VLOOKUP(Q23,Calendars!$O$1:$U$398,MATCH($X$1,Calendars!$O$1:$U$1,0),FALSE)="",Q22=0)</xm:f>
            <x14:dxf>
              <fill>
                <patternFill>
                  <bgColor theme="7" tint="0.79998168889431442"/>
                </patternFill>
              </fill>
            </x14:dxf>
          </x14:cfRule>
          <xm:sqref>Q22</xm:sqref>
        </x14:conditionalFormatting>
        <x14:conditionalFormatting xmlns:xm="http://schemas.microsoft.com/office/excel/2006/main">
          <x14:cfRule type="expression" priority="1268" id="{B4D6DD53-3830-469B-BE83-5545C78C2B8A}">
            <xm:f>VLOOKUP(Q23,Calendars!$O$1:$U$398,MATCH($X$1,Calendars!$O$1:$U$1,0),FALSE)="Non Contract"</xm:f>
            <x14:dxf>
              <fill>
                <patternFill patternType="lightDown"/>
              </fill>
              <border>
                <bottom/>
              </border>
            </x14:dxf>
          </x14:cfRule>
          <x14:cfRule type="expression" priority="1277" id="{332EB371-FBAB-47CA-951E-17ABC55D9D52}">
            <xm:f>VLOOKUP(Q23,Calendars!$O$1:$U$398,MATCH($X$1,Calendars!$O$1:$U$1,0),FALSE)="Holiday"</xm:f>
            <x14:dxf>
              <fill>
                <patternFill>
                  <bgColor rgb="FFFF99FF"/>
                </patternFill>
              </fill>
              <border>
                <bottom/>
              </border>
            </x14:dxf>
          </x14:cfRule>
          <xm:sqref>Q22</xm:sqref>
        </x14:conditionalFormatting>
        <x14:conditionalFormatting xmlns:xm="http://schemas.microsoft.com/office/excel/2006/main">
          <x14:cfRule type="expression" priority="1257" id="{58EB814D-11A2-4FD0-B868-182C1AAD7C27}">
            <xm:f>AND(VLOOKUP(R23,Calendars!$O$1:$U$398,MATCH($X$1,Calendars!$O$1:$U$1,0),FALSE)="Non Contract",$C$5&gt;0)</xm:f>
            <x14:dxf>
              <fill>
                <patternFill patternType="solid">
                  <fgColor theme="4" tint="0.79998168889431442"/>
                  <bgColor theme="8" tint="0.79995117038483843"/>
                </patternFill>
              </fill>
            </x14:dxf>
          </x14:cfRule>
          <xm:sqref>R22</xm:sqref>
        </x14:conditionalFormatting>
        <x14:conditionalFormatting xmlns:xm="http://schemas.microsoft.com/office/excel/2006/main">
          <x14:cfRule type="expression" priority="1267" id="{1F9CEC77-86DA-412F-8E06-31AA1A428D65}">
            <xm:f>AND(VLOOKUP(R23,Calendars!$O$1:$U$398,MATCH($X$1,Calendars!$O$1:$U$1,0),FALSE)="",R22=0)</xm:f>
            <x14:dxf>
              <fill>
                <patternFill>
                  <bgColor theme="7" tint="0.79998168889431442"/>
                </patternFill>
              </fill>
            </x14:dxf>
          </x14:cfRule>
          <xm:sqref>R22</xm:sqref>
        </x14:conditionalFormatting>
        <x14:conditionalFormatting xmlns:xm="http://schemas.microsoft.com/office/excel/2006/main">
          <x14:cfRule type="expression" priority="1256" id="{4242BDEF-A843-4CEC-8EB9-46362491F615}">
            <xm:f>VLOOKUP(R23,Calendars!$O$1:$U$398,MATCH($X$1,Calendars!$O$1:$U$1,0),FALSE)="Non Contract"</xm:f>
            <x14:dxf>
              <fill>
                <patternFill patternType="lightDown"/>
              </fill>
              <border>
                <bottom/>
              </border>
            </x14:dxf>
          </x14:cfRule>
          <x14:cfRule type="expression" priority="1265" id="{95DDE82E-F248-46E1-9066-FB3050451A41}">
            <xm:f>VLOOKUP(R23,Calendars!$O$1:$U$398,MATCH($X$1,Calendars!$O$1:$U$1,0),FALSE)="Holiday"</xm:f>
            <x14:dxf>
              <fill>
                <patternFill>
                  <bgColor rgb="FFFF99FF"/>
                </patternFill>
              </fill>
              <border>
                <bottom/>
              </border>
            </x14:dxf>
          </x14:cfRule>
          <xm:sqref>R22</xm:sqref>
        </x14:conditionalFormatting>
        <x14:conditionalFormatting xmlns:xm="http://schemas.microsoft.com/office/excel/2006/main">
          <x14:cfRule type="expression" priority="1245" id="{48A2F54F-30EC-4C31-AE0F-2297A3E29512}">
            <xm:f>AND(VLOOKUP(S23,Calendars!$O$1:$U$398,MATCH($X$1,Calendars!$O$1:$U$1,0),FALSE)="Non Contract",$C$5&gt;0)</xm:f>
            <x14:dxf>
              <fill>
                <patternFill patternType="solid">
                  <fgColor theme="4" tint="0.79998168889431442"/>
                  <bgColor theme="8" tint="0.79995117038483843"/>
                </patternFill>
              </fill>
            </x14:dxf>
          </x14:cfRule>
          <xm:sqref>S22:U22</xm:sqref>
        </x14:conditionalFormatting>
        <x14:conditionalFormatting xmlns:xm="http://schemas.microsoft.com/office/excel/2006/main">
          <x14:cfRule type="expression" priority="1255" id="{E6AF0D2A-6C85-4DF1-8CC2-7BDD74754150}">
            <xm:f>AND(VLOOKUP(S23,Calendars!$O$1:$U$398,MATCH($X$1,Calendars!$O$1:$U$1,0),FALSE)="",S22=0)</xm:f>
            <x14:dxf>
              <fill>
                <patternFill>
                  <bgColor theme="7" tint="0.79998168889431442"/>
                </patternFill>
              </fill>
            </x14:dxf>
          </x14:cfRule>
          <xm:sqref>S22:U22</xm:sqref>
        </x14:conditionalFormatting>
        <x14:conditionalFormatting xmlns:xm="http://schemas.microsoft.com/office/excel/2006/main">
          <x14:cfRule type="expression" priority="1244" id="{FF3EDD5B-CDCC-40D1-8967-9768B4F45535}">
            <xm:f>VLOOKUP(S23,Calendars!$O$1:$U$398,MATCH($X$1,Calendars!$O$1:$U$1,0),FALSE)="Non Contract"</xm:f>
            <x14:dxf>
              <fill>
                <patternFill patternType="lightDown"/>
              </fill>
              <border>
                <bottom/>
              </border>
            </x14:dxf>
          </x14:cfRule>
          <x14:cfRule type="expression" priority="1253" id="{B1B47E7E-6A44-4922-9321-7F79BCA537A4}">
            <xm:f>VLOOKUP(S23,Calendars!$O$1:$U$398,MATCH($X$1,Calendars!$O$1:$U$1,0),FALSE)="Holiday"</xm:f>
            <x14:dxf>
              <fill>
                <patternFill>
                  <bgColor rgb="FFFF99FF"/>
                </patternFill>
              </fill>
              <border>
                <bottom/>
              </border>
            </x14:dxf>
          </x14:cfRule>
          <xm:sqref>S22:U22</xm:sqref>
        </x14:conditionalFormatting>
        <x14:conditionalFormatting xmlns:xm="http://schemas.microsoft.com/office/excel/2006/main">
          <x14:cfRule type="expression" priority="1233" id="{2335C685-AA30-4B21-8639-AE4DBE38CBA5}">
            <xm:f>AND(VLOOKUP(Q25,Calendars!$O$1:$U$398,MATCH($X$1,Calendars!$O$1:$U$1,0),FALSE)="Non Contract",$C$5&gt;0)</xm:f>
            <x14:dxf>
              <fill>
                <patternFill patternType="solid">
                  <fgColor theme="4" tint="0.79998168889431442"/>
                  <bgColor theme="8" tint="0.79995117038483843"/>
                </patternFill>
              </fill>
            </x14:dxf>
          </x14:cfRule>
          <xm:sqref>Q24</xm:sqref>
        </x14:conditionalFormatting>
        <x14:conditionalFormatting xmlns:xm="http://schemas.microsoft.com/office/excel/2006/main">
          <x14:cfRule type="expression" priority="1243" id="{FF9C6007-3C25-4CC0-8F49-577EF0F58300}">
            <xm:f>AND(VLOOKUP(Q25,Calendars!$O$1:$U$398,MATCH($X$1,Calendars!$O$1:$U$1,0),FALSE)="",Q24=0)</xm:f>
            <x14:dxf>
              <fill>
                <patternFill>
                  <bgColor theme="7" tint="0.79998168889431442"/>
                </patternFill>
              </fill>
            </x14:dxf>
          </x14:cfRule>
          <xm:sqref>Q24</xm:sqref>
        </x14:conditionalFormatting>
        <x14:conditionalFormatting xmlns:xm="http://schemas.microsoft.com/office/excel/2006/main">
          <x14:cfRule type="expression" priority="1232" id="{09CC74B7-5270-4EEB-A877-DD54816017AD}">
            <xm:f>VLOOKUP(Q25,Calendars!$O$1:$U$398,MATCH($X$1,Calendars!$O$1:$U$1,0),FALSE)="Non Contract"</xm:f>
            <x14:dxf>
              <fill>
                <patternFill patternType="lightDown"/>
              </fill>
              <border>
                <bottom/>
              </border>
            </x14:dxf>
          </x14:cfRule>
          <x14:cfRule type="expression" priority="1241" id="{0CBD04D2-437B-425D-BA89-E427A47FD40E}">
            <xm:f>VLOOKUP(Q25,Calendars!$O$1:$U$398,MATCH($X$1,Calendars!$O$1:$U$1,0),FALSE)="Holiday"</xm:f>
            <x14:dxf>
              <fill>
                <patternFill>
                  <bgColor rgb="FFFF99FF"/>
                </patternFill>
              </fill>
              <border>
                <bottom/>
              </border>
            </x14:dxf>
          </x14:cfRule>
          <xm:sqref>Q24</xm:sqref>
        </x14:conditionalFormatting>
        <x14:conditionalFormatting xmlns:xm="http://schemas.microsoft.com/office/excel/2006/main">
          <x14:cfRule type="expression" priority="1221" id="{C84691DB-EA2A-4095-B34F-E4C184DF41E9}">
            <xm:f>AND(VLOOKUP(R25,Calendars!$O$1:$U$398,MATCH($X$1,Calendars!$O$1:$U$1,0),FALSE)="Non Contract",$C$5&gt;0)</xm:f>
            <x14:dxf>
              <fill>
                <patternFill patternType="solid">
                  <fgColor theme="4" tint="0.79998168889431442"/>
                  <bgColor theme="8" tint="0.79995117038483843"/>
                </patternFill>
              </fill>
            </x14:dxf>
          </x14:cfRule>
          <xm:sqref>R24</xm:sqref>
        </x14:conditionalFormatting>
        <x14:conditionalFormatting xmlns:xm="http://schemas.microsoft.com/office/excel/2006/main">
          <x14:cfRule type="expression" priority="1231" id="{3C2FE06F-CAE4-431E-B9E4-E2DB7E56B97B}">
            <xm:f>AND(VLOOKUP(R25,Calendars!$O$1:$U$398,MATCH($X$1,Calendars!$O$1:$U$1,0),FALSE)="",R24=0)</xm:f>
            <x14:dxf>
              <fill>
                <patternFill>
                  <bgColor theme="7" tint="0.79998168889431442"/>
                </patternFill>
              </fill>
            </x14:dxf>
          </x14:cfRule>
          <xm:sqref>R24</xm:sqref>
        </x14:conditionalFormatting>
        <x14:conditionalFormatting xmlns:xm="http://schemas.microsoft.com/office/excel/2006/main">
          <x14:cfRule type="expression" priority="1220" id="{8B2E9429-FEA8-43E9-A7BC-AA76820316C8}">
            <xm:f>VLOOKUP(R25,Calendars!$O$1:$U$398,MATCH($X$1,Calendars!$O$1:$U$1,0),FALSE)="Non Contract"</xm:f>
            <x14:dxf>
              <fill>
                <patternFill patternType="lightDown"/>
              </fill>
              <border>
                <bottom/>
              </border>
            </x14:dxf>
          </x14:cfRule>
          <x14:cfRule type="expression" priority="1229" id="{D4831D33-0719-40C1-A047-D92A8811A000}">
            <xm:f>VLOOKUP(R25,Calendars!$O$1:$U$398,MATCH($X$1,Calendars!$O$1:$U$1,0),FALSE)="Holiday"</xm:f>
            <x14:dxf>
              <fill>
                <patternFill>
                  <bgColor rgb="FFFF99FF"/>
                </patternFill>
              </fill>
              <border>
                <bottom/>
              </border>
            </x14:dxf>
          </x14:cfRule>
          <xm:sqref>R24</xm:sqref>
        </x14:conditionalFormatting>
        <x14:conditionalFormatting xmlns:xm="http://schemas.microsoft.com/office/excel/2006/main">
          <x14:cfRule type="expression" priority="1209" id="{D8749EC8-C19D-4C07-961B-5275C2C68AB7}">
            <xm:f>AND(VLOOKUP(S25,Calendars!$O$1:$U$398,MATCH($X$1,Calendars!$O$1:$U$1,0),FALSE)="Non Contract",$C$5&gt;0)</xm:f>
            <x14:dxf>
              <fill>
                <patternFill patternType="solid">
                  <fgColor theme="4" tint="0.79998168889431442"/>
                  <bgColor theme="8" tint="0.79995117038483843"/>
                </patternFill>
              </fill>
            </x14:dxf>
          </x14:cfRule>
          <xm:sqref>S24:U24</xm:sqref>
        </x14:conditionalFormatting>
        <x14:conditionalFormatting xmlns:xm="http://schemas.microsoft.com/office/excel/2006/main">
          <x14:cfRule type="expression" priority="1219" id="{954D3FC7-819E-4AB3-A36B-26117B17FE7C}">
            <xm:f>AND(VLOOKUP(S25,Calendars!$O$1:$U$398,MATCH($X$1,Calendars!$O$1:$U$1,0),FALSE)="",S24=0)</xm:f>
            <x14:dxf>
              <fill>
                <patternFill>
                  <bgColor theme="7" tint="0.79998168889431442"/>
                </patternFill>
              </fill>
            </x14:dxf>
          </x14:cfRule>
          <xm:sqref>S24:U24</xm:sqref>
        </x14:conditionalFormatting>
        <x14:conditionalFormatting xmlns:xm="http://schemas.microsoft.com/office/excel/2006/main">
          <x14:cfRule type="expression" priority="1208" id="{8C055500-CED9-4D05-81AC-B38CBDDA7CC8}">
            <xm:f>VLOOKUP(S25,Calendars!$O$1:$U$398,MATCH($X$1,Calendars!$O$1:$U$1,0),FALSE)="Non Contract"</xm:f>
            <x14:dxf>
              <fill>
                <patternFill patternType="lightDown"/>
              </fill>
              <border>
                <bottom/>
              </border>
            </x14:dxf>
          </x14:cfRule>
          <x14:cfRule type="expression" priority="1217" id="{22799324-B4CA-446D-B573-FE89F1CE65DC}">
            <xm:f>VLOOKUP(S25,Calendars!$O$1:$U$398,MATCH($X$1,Calendars!$O$1:$U$1,0),FALSE)="Holiday"</xm:f>
            <x14:dxf>
              <fill>
                <patternFill>
                  <bgColor rgb="FFFF99FF"/>
                </patternFill>
              </fill>
              <border>
                <bottom/>
              </border>
            </x14:dxf>
          </x14:cfRule>
          <xm:sqref>S24:U24</xm:sqref>
        </x14:conditionalFormatting>
        <x14:conditionalFormatting xmlns:xm="http://schemas.microsoft.com/office/excel/2006/main">
          <x14:cfRule type="expression" priority="1197" id="{60C90384-FA6F-4FB4-9F1F-92A6AAD7AAB2}">
            <xm:f>AND(VLOOKUP(X17,Calendars!$O$1:$U$398,MATCH($X$1,Calendars!$O$1:$U$1,0),FALSE)="Non Contract",$C$5&gt;0)</xm:f>
            <x14:dxf>
              <fill>
                <patternFill patternType="solid">
                  <fgColor theme="4" tint="0.79998168889431442"/>
                  <bgColor theme="8" tint="0.79995117038483843"/>
                </patternFill>
              </fill>
            </x14:dxf>
          </x14:cfRule>
          <xm:sqref>X16</xm:sqref>
        </x14:conditionalFormatting>
        <x14:conditionalFormatting xmlns:xm="http://schemas.microsoft.com/office/excel/2006/main">
          <x14:cfRule type="expression" priority="1207" id="{EAE14393-3CD2-40E7-AF49-188C1619F659}">
            <xm:f>AND(VLOOKUP(X17,Calendars!$O$1:$U$398,MATCH($X$1,Calendars!$O$1:$U$1,0),FALSE)="",X16=0)</xm:f>
            <x14:dxf>
              <fill>
                <patternFill>
                  <bgColor theme="7" tint="0.79998168889431442"/>
                </patternFill>
              </fill>
            </x14:dxf>
          </x14:cfRule>
          <xm:sqref>X16</xm:sqref>
        </x14:conditionalFormatting>
        <x14:conditionalFormatting xmlns:xm="http://schemas.microsoft.com/office/excel/2006/main">
          <x14:cfRule type="expression" priority="1196" id="{08845448-5A5A-447B-8FED-019B9A304AE3}">
            <xm:f>VLOOKUP(X17,Calendars!$O$1:$U$398,MATCH($X$1,Calendars!$O$1:$U$1,0),FALSE)="Non Contract"</xm:f>
            <x14:dxf>
              <fill>
                <patternFill patternType="lightDown"/>
              </fill>
              <border>
                <bottom/>
              </border>
            </x14:dxf>
          </x14:cfRule>
          <x14:cfRule type="expression" priority="1205" id="{C40A56E8-668B-4D9B-BC26-80C5F792B088}">
            <xm:f>VLOOKUP(X17,Calendars!$O$1:$U$398,MATCH($X$1,Calendars!$O$1:$U$1,0),FALSE)="Holiday"</xm:f>
            <x14:dxf>
              <fill>
                <patternFill>
                  <bgColor rgb="FFFF99FF"/>
                </patternFill>
              </fill>
              <border>
                <bottom/>
              </border>
            </x14:dxf>
          </x14:cfRule>
          <xm:sqref>X16</xm:sqref>
        </x14:conditionalFormatting>
        <x14:conditionalFormatting xmlns:xm="http://schemas.microsoft.com/office/excel/2006/main">
          <x14:cfRule type="expression" priority="1185" id="{363CDCA4-20B7-4BFA-8372-6F8232A69CBC}">
            <xm:f>AND(VLOOKUP(Y17,Calendars!$O$1:$U$398,MATCH($X$1,Calendars!$O$1:$U$1,0),FALSE)="Non Contract",$C$5&gt;0)</xm:f>
            <x14:dxf>
              <fill>
                <patternFill patternType="solid">
                  <fgColor theme="4" tint="0.79998168889431442"/>
                  <bgColor theme="8" tint="0.79995117038483843"/>
                </patternFill>
              </fill>
            </x14:dxf>
          </x14:cfRule>
          <xm:sqref>Y16</xm:sqref>
        </x14:conditionalFormatting>
        <x14:conditionalFormatting xmlns:xm="http://schemas.microsoft.com/office/excel/2006/main">
          <x14:cfRule type="expression" priority="1195" id="{52F71ACB-A0D9-4D73-94CF-622FFF71F6B4}">
            <xm:f>AND(VLOOKUP(Y17,Calendars!$O$1:$U$398,MATCH($X$1,Calendars!$O$1:$U$1,0),FALSE)="",Y16=0)</xm:f>
            <x14:dxf>
              <fill>
                <patternFill>
                  <bgColor theme="7" tint="0.79998168889431442"/>
                </patternFill>
              </fill>
            </x14:dxf>
          </x14:cfRule>
          <xm:sqref>Y16</xm:sqref>
        </x14:conditionalFormatting>
        <x14:conditionalFormatting xmlns:xm="http://schemas.microsoft.com/office/excel/2006/main">
          <x14:cfRule type="expression" priority="1184" id="{31CF8416-3D88-4BB7-8F65-A5A5108B5210}">
            <xm:f>VLOOKUP(Y17,Calendars!$O$1:$U$398,MATCH($X$1,Calendars!$O$1:$U$1,0),FALSE)="Non Contract"</xm:f>
            <x14:dxf>
              <fill>
                <patternFill patternType="lightDown"/>
              </fill>
              <border>
                <bottom/>
              </border>
            </x14:dxf>
          </x14:cfRule>
          <x14:cfRule type="expression" priority="1193" id="{50746DB3-114E-403E-8E13-6B7590B74E6D}">
            <xm:f>VLOOKUP(Y17,Calendars!$O$1:$U$398,MATCH($X$1,Calendars!$O$1:$U$1,0),FALSE)="Holiday"</xm:f>
            <x14:dxf>
              <fill>
                <patternFill>
                  <bgColor rgb="FFFF99FF"/>
                </patternFill>
              </fill>
              <border>
                <bottom/>
              </border>
            </x14:dxf>
          </x14:cfRule>
          <xm:sqref>Y16</xm:sqref>
        </x14:conditionalFormatting>
        <x14:conditionalFormatting xmlns:xm="http://schemas.microsoft.com/office/excel/2006/main">
          <x14:cfRule type="expression" priority="1173" id="{D1807576-CF16-4F66-8EC7-35BCD06A3E60}">
            <xm:f>AND(VLOOKUP(Z17,Calendars!$O$1:$U$398,MATCH($X$1,Calendars!$O$1:$U$1,0),FALSE)="Non Contract",$C$5&gt;0)</xm:f>
            <x14:dxf>
              <fill>
                <patternFill patternType="solid">
                  <fgColor theme="4" tint="0.79998168889431442"/>
                  <bgColor theme="8" tint="0.79995117038483843"/>
                </patternFill>
              </fill>
            </x14:dxf>
          </x14:cfRule>
          <xm:sqref>Z16:AB16</xm:sqref>
        </x14:conditionalFormatting>
        <x14:conditionalFormatting xmlns:xm="http://schemas.microsoft.com/office/excel/2006/main">
          <x14:cfRule type="expression" priority="1183" id="{318296D8-5A55-41D1-9718-8BC4D5FE0521}">
            <xm:f>AND(VLOOKUP(Z17,Calendars!$O$1:$U$398,MATCH($X$1,Calendars!$O$1:$U$1,0),FALSE)="",Z16=0)</xm:f>
            <x14:dxf>
              <fill>
                <patternFill>
                  <bgColor theme="7" tint="0.79998168889431442"/>
                </patternFill>
              </fill>
            </x14:dxf>
          </x14:cfRule>
          <xm:sqref>Z16:AB16</xm:sqref>
        </x14:conditionalFormatting>
        <x14:conditionalFormatting xmlns:xm="http://schemas.microsoft.com/office/excel/2006/main">
          <x14:cfRule type="expression" priority="1172" id="{C107B7EE-E012-4C7C-9A8C-C542E8A5B543}">
            <xm:f>VLOOKUP(Z17,Calendars!$O$1:$U$398,MATCH($X$1,Calendars!$O$1:$U$1,0),FALSE)="Non Contract"</xm:f>
            <x14:dxf>
              <fill>
                <patternFill patternType="lightDown"/>
              </fill>
              <border>
                <bottom/>
              </border>
            </x14:dxf>
          </x14:cfRule>
          <x14:cfRule type="expression" priority="1181" id="{20A9FE42-88EE-4759-99D0-BCBDC8417C80}">
            <xm:f>VLOOKUP(Z17,Calendars!$O$1:$U$398,MATCH($X$1,Calendars!$O$1:$U$1,0),FALSE)="Holiday"</xm:f>
            <x14:dxf>
              <fill>
                <patternFill>
                  <bgColor rgb="FFFF99FF"/>
                </patternFill>
              </fill>
              <border>
                <bottom/>
              </border>
            </x14:dxf>
          </x14:cfRule>
          <xm:sqref>Z16:AB16</xm:sqref>
        </x14:conditionalFormatting>
        <x14:conditionalFormatting xmlns:xm="http://schemas.microsoft.com/office/excel/2006/main">
          <x14:cfRule type="expression" priority="1161" id="{136B7E3A-4AD4-4487-A2BF-27A0C289F1A8}">
            <xm:f>AND(VLOOKUP(X19,Calendars!$O$1:$U$398,MATCH($X$1,Calendars!$O$1:$U$1,0),FALSE)="Non Contract",$C$5&gt;0)</xm:f>
            <x14:dxf>
              <fill>
                <patternFill patternType="solid">
                  <fgColor theme="4" tint="0.79998168889431442"/>
                  <bgColor theme="8" tint="0.79995117038483843"/>
                </patternFill>
              </fill>
            </x14:dxf>
          </x14:cfRule>
          <xm:sqref>X18</xm:sqref>
        </x14:conditionalFormatting>
        <x14:conditionalFormatting xmlns:xm="http://schemas.microsoft.com/office/excel/2006/main">
          <x14:cfRule type="expression" priority="1171" id="{66566A55-01EC-4F8A-B92D-F04D4B0CDA0D}">
            <xm:f>AND(VLOOKUP(X19,Calendars!$O$1:$U$398,MATCH($X$1,Calendars!$O$1:$U$1,0),FALSE)="",X18=0)</xm:f>
            <x14:dxf>
              <fill>
                <patternFill>
                  <bgColor theme="7" tint="0.79998168889431442"/>
                </patternFill>
              </fill>
            </x14:dxf>
          </x14:cfRule>
          <xm:sqref>X18</xm:sqref>
        </x14:conditionalFormatting>
        <x14:conditionalFormatting xmlns:xm="http://schemas.microsoft.com/office/excel/2006/main">
          <x14:cfRule type="expression" priority="1160" id="{1B294BEC-3E21-4BBA-B125-12D39F71D4BC}">
            <xm:f>VLOOKUP(X19,Calendars!$O$1:$U$398,MATCH($X$1,Calendars!$O$1:$U$1,0),FALSE)="Non Contract"</xm:f>
            <x14:dxf>
              <fill>
                <patternFill patternType="lightDown"/>
              </fill>
              <border>
                <bottom/>
              </border>
            </x14:dxf>
          </x14:cfRule>
          <x14:cfRule type="expression" priority="1169" id="{3BAEB5D8-85A1-4393-A081-521246EDFBC2}">
            <xm:f>VLOOKUP(X19,Calendars!$O$1:$U$398,MATCH($X$1,Calendars!$O$1:$U$1,0),FALSE)="Holiday"</xm:f>
            <x14:dxf>
              <fill>
                <patternFill>
                  <bgColor rgb="FFFF99FF"/>
                </patternFill>
              </fill>
              <border>
                <bottom/>
              </border>
            </x14:dxf>
          </x14:cfRule>
          <xm:sqref>X18</xm:sqref>
        </x14:conditionalFormatting>
        <x14:conditionalFormatting xmlns:xm="http://schemas.microsoft.com/office/excel/2006/main">
          <x14:cfRule type="expression" priority="1149" id="{135DCD7E-2EB7-4D35-852D-F246E0462DA5}">
            <xm:f>AND(VLOOKUP(Y19,Calendars!$O$1:$U$398,MATCH($X$1,Calendars!$O$1:$U$1,0),FALSE)="Non Contract",$C$5&gt;0)</xm:f>
            <x14:dxf>
              <fill>
                <patternFill patternType="solid">
                  <fgColor theme="4" tint="0.79998168889431442"/>
                  <bgColor theme="8" tint="0.79995117038483843"/>
                </patternFill>
              </fill>
            </x14:dxf>
          </x14:cfRule>
          <xm:sqref>Y18</xm:sqref>
        </x14:conditionalFormatting>
        <x14:conditionalFormatting xmlns:xm="http://schemas.microsoft.com/office/excel/2006/main">
          <x14:cfRule type="expression" priority="1159" id="{C922B132-868D-45AE-8583-2F9FAF0FECBC}">
            <xm:f>AND(VLOOKUP(Y19,Calendars!$O$1:$U$398,MATCH($X$1,Calendars!$O$1:$U$1,0),FALSE)="",Y18=0)</xm:f>
            <x14:dxf>
              <fill>
                <patternFill>
                  <bgColor theme="7" tint="0.79998168889431442"/>
                </patternFill>
              </fill>
            </x14:dxf>
          </x14:cfRule>
          <xm:sqref>Y18</xm:sqref>
        </x14:conditionalFormatting>
        <x14:conditionalFormatting xmlns:xm="http://schemas.microsoft.com/office/excel/2006/main">
          <x14:cfRule type="expression" priority="1148" id="{A085CE04-5F5F-42CB-9CAC-87F4ABB2C2D7}">
            <xm:f>VLOOKUP(Y19,Calendars!$O$1:$U$398,MATCH($X$1,Calendars!$O$1:$U$1,0),FALSE)="Non Contract"</xm:f>
            <x14:dxf>
              <fill>
                <patternFill patternType="lightDown"/>
              </fill>
              <border>
                <bottom/>
              </border>
            </x14:dxf>
          </x14:cfRule>
          <x14:cfRule type="expression" priority="1157" id="{B6A99846-44DF-4FD7-A074-65A2C2370B83}">
            <xm:f>VLOOKUP(Y19,Calendars!$O$1:$U$398,MATCH($X$1,Calendars!$O$1:$U$1,0),FALSE)="Holiday"</xm:f>
            <x14:dxf>
              <fill>
                <patternFill>
                  <bgColor rgb="FFFF99FF"/>
                </patternFill>
              </fill>
              <border>
                <bottom/>
              </border>
            </x14:dxf>
          </x14:cfRule>
          <xm:sqref>Y18</xm:sqref>
        </x14:conditionalFormatting>
        <x14:conditionalFormatting xmlns:xm="http://schemas.microsoft.com/office/excel/2006/main">
          <x14:cfRule type="expression" priority="1137" id="{6ED74CBF-55C9-4EF4-A9F0-84B3203E75DD}">
            <xm:f>AND(VLOOKUP(Z19,Calendars!$O$1:$U$398,MATCH($X$1,Calendars!$O$1:$U$1,0),FALSE)="Non Contract",$C$5&gt;0)</xm:f>
            <x14:dxf>
              <fill>
                <patternFill patternType="solid">
                  <fgColor theme="4" tint="0.79998168889431442"/>
                  <bgColor theme="8" tint="0.79995117038483843"/>
                </patternFill>
              </fill>
            </x14:dxf>
          </x14:cfRule>
          <xm:sqref>Z18:AB18</xm:sqref>
        </x14:conditionalFormatting>
        <x14:conditionalFormatting xmlns:xm="http://schemas.microsoft.com/office/excel/2006/main">
          <x14:cfRule type="expression" priority="1147" id="{E746FEC6-056C-4EE6-B91F-D4F7BC0E8285}">
            <xm:f>AND(VLOOKUP(Z19,Calendars!$O$1:$U$398,MATCH($X$1,Calendars!$O$1:$U$1,0),FALSE)="",Z18=0)</xm:f>
            <x14:dxf>
              <fill>
                <patternFill>
                  <bgColor theme="7" tint="0.79998168889431442"/>
                </patternFill>
              </fill>
            </x14:dxf>
          </x14:cfRule>
          <xm:sqref>Z18:AB18</xm:sqref>
        </x14:conditionalFormatting>
        <x14:conditionalFormatting xmlns:xm="http://schemas.microsoft.com/office/excel/2006/main">
          <x14:cfRule type="expression" priority="1136" id="{42EA4801-2B68-46EF-92DA-0D973E560A7F}">
            <xm:f>VLOOKUP(Z19,Calendars!$O$1:$U$398,MATCH($X$1,Calendars!$O$1:$U$1,0),FALSE)="Non Contract"</xm:f>
            <x14:dxf>
              <fill>
                <patternFill patternType="lightDown"/>
              </fill>
              <border>
                <bottom/>
              </border>
            </x14:dxf>
          </x14:cfRule>
          <x14:cfRule type="expression" priority="1145" id="{8DB3D25F-9B5D-4837-B72D-79458E8BB5AA}">
            <xm:f>VLOOKUP(Z19,Calendars!$O$1:$U$398,MATCH($X$1,Calendars!$O$1:$U$1,0),FALSE)="Holiday"</xm:f>
            <x14:dxf>
              <fill>
                <patternFill>
                  <bgColor rgb="FFFF99FF"/>
                </patternFill>
              </fill>
              <border>
                <bottom/>
              </border>
            </x14:dxf>
          </x14:cfRule>
          <xm:sqref>Z18:AB18</xm:sqref>
        </x14:conditionalFormatting>
        <x14:conditionalFormatting xmlns:xm="http://schemas.microsoft.com/office/excel/2006/main">
          <x14:cfRule type="expression" priority="1125" id="{EBCA0F5F-6C6E-4536-989F-CF9546F51EE7}">
            <xm:f>AND(VLOOKUP(X21,Calendars!$O$1:$U$398,MATCH($X$1,Calendars!$O$1:$U$1,0),FALSE)="Non Contract",$C$5&gt;0)</xm:f>
            <x14:dxf>
              <fill>
                <patternFill patternType="solid">
                  <fgColor theme="4" tint="0.79998168889431442"/>
                  <bgColor theme="8" tint="0.79995117038483843"/>
                </patternFill>
              </fill>
            </x14:dxf>
          </x14:cfRule>
          <xm:sqref>X20</xm:sqref>
        </x14:conditionalFormatting>
        <x14:conditionalFormatting xmlns:xm="http://schemas.microsoft.com/office/excel/2006/main">
          <x14:cfRule type="expression" priority="1135" id="{1A7D36E7-566E-46D3-BEAD-AD60F484D864}">
            <xm:f>AND(VLOOKUP(X21,Calendars!$O$1:$U$398,MATCH($X$1,Calendars!$O$1:$U$1,0),FALSE)="",X20=0)</xm:f>
            <x14:dxf>
              <fill>
                <patternFill>
                  <bgColor theme="7" tint="0.79998168889431442"/>
                </patternFill>
              </fill>
            </x14:dxf>
          </x14:cfRule>
          <xm:sqref>X20</xm:sqref>
        </x14:conditionalFormatting>
        <x14:conditionalFormatting xmlns:xm="http://schemas.microsoft.com/office/excel/2006/main">
          <x14:cfRule type="expression" priority="1124" id="{D683DEF8-D42A-4D4A-907B-2C76621555D1}">
            <xm:f>VLOOKUP(X21,Calendars!$O$1:$U$398,MATCH($X$1,Calendars!$O$1:$U$1,0),FALSE)="Non Contract"</xm:f>
            <x14:dxf>
              <fill>
                <patternFill patternType="lightDown"/>
              </fill>
              <border>
                <bottom/>
              </border>
            </x14:dxf>
          </x14:cfRule>
          <x14:cfRule type="expression" priority="1133" id="{DA30E800-4706-41B6-8D1D-E92851D352A5}">
            <xm:f>VLOOKUP(X21,Calendars!$O$1:$U$398,MATCH($X$1,Calendars!$O$1:$U$1,0),FALSE)="Holiday"</xm:f>
            <x14:dxf>
              <fill>
                <patternFill>
                  <bgColor rgb="FFFF99FF"/>
                </patternFill>
              </fill>
              <border>
                <bottom/>
              </border>
            </x14:dxf>
          </x14:cfRule>
          <xm:sqref>X20</xm:sqref>
        </x14:conditionalFormatting>
        <x14:conditionalFormatting xmlns:xm="http://schemas.microsoft.com/office/excel/2006/main">
          <x14:cfRule type="expression" priority="1113" id="{40A846B1-7598-4846-BE80-F20CB9CE9C26}">
            <xm:f>AND(VLOOKUP(Y21,Calendars!$O$1:$U$398,MATCH($X$1,Calendars!$O$1:$U$1,0),FALSE)="Non Contract",$C$5&gt;0)</xm:f>
            <x14:dxf>
              <fill>
                <patternFill patternType="solid">
                  <fgColor theme="4" tint="0.79998168889431442"/>
                  <bgColor theme="8" tint="0.79995117038483843"/>
                </patternFill>
              </fill>
            </x14:dxf>
          </x14:cfRule>
          <xm:sqref>Y20</xm:sqref>
        </x14:conditionalFormatting>
        <x14:conditionalFormatting xmlns:xm="http://schemas.microsoft.com/office/excel/2006/main">
          <x14:cfRule type="expression" priority="1123" id="{458A1F60-CD21-48E2-A0D5-73E3BE6D3494}">
            <xm:f>AND(VLOOKUP(Y21,Calendars!$O$1:$U$398,MATCH($X$1,Calendars!$O$1:$U$1,0),FALSE)="",Y20=0)</xm:f>
            <x14:dxf>
              <fill>
                <patternFill>
                  <bgColor theme="7" tint="0.79998168889431442"/>
                </patternFill>
              </fill>
            </x14:dxf>
          </x14:cfRule>
          <xm:sqref>Y20</xm:sqref>
        </x14:conditionalFormatting>
        <x14:conditionalFormatting xmlns:xm="http://schemas.microsoft.com/office/excel/2006/main">
          <x14:cfRule type="expression" priority="1112" id="{06C38389-13E6-45D2-BA66-2009D30569F3}">
            <xm:f>VLOOKUP(Y21,Calendars!$O$1:$U$398,MATCH($X$1,Calendars!$O$1:$U$1,0),FALSE)="Non Contract"</xm:f>
            <x14:dxf>
              <fill>
                <patternFill patternType="lightDown"/>
              </fill>
              <border>
                <bottom/>
              </border>
            </x14:dxf>
          </x14:cfRule>
          <x14:cfRule type="expression" priority="1121" id="{B096C3C7-D07A-46CD-AE31-2CBAE43993AA}">
            <xm:f>VLOOKUP(Y21,Calendars!$O$1:$U$398,MATCH($X$1,Calendars!$O$1:$U$1,0),FALSE)="Holiday"</xm:f>
            <x14:dxf>
              <fill>
                <patternFill>
                  <bgColor rgb="FFFF99FF"/>
                </patternFill>
              </fill>
              <border>
                <bottom/>
              </border>
            </x14:dxf>
          </x14:cfRule>
          <xm:sqref>Y20</xm:sqref>
        </x14:conditionalFormatting>
        <x14:conditionalFormatting xmlns:xm="http://schemas.microsoft.com/office/excel/2006/main">
          <x14:cfRule type="expression" priority="1101" id="{1E15BDD5-0B84-48F1-A6BE-5128344D3AAD}">
            <xm:f>AND(VLOOKUP(Z21,Calendars!$O$1:$U$398,MATCH($X$1,Calendars!$O$1:$U$1,0),FALSE)="Non Contract",$C$5&gt;0)</xm:f>
            <x14:dxf>
              <fill>
                <patternFill patternType="solid">
                  <fgColor theme="4" tint="0.79998168889431442"/>
                  <bgColor theme="8" tint="0.79995117038483843"/>
                </patternFill>
              </fill>
            </x14:dxf>
          </x14:cfRule>
          <xm:sqref>Z20:AB20</xm:sqref>
        </x14:conditionalFormatting>
        <x14:conditionalFormatting xmlns:xm="http://schemas.microsoft.com/office/excel/2006/main">
          <x14:cfRule type="expression" priority="1111" id="{6C7A19BA-1F9C-470D-9609-6D146505E5E3}">
            <xm:f>AND(VLOOKUP(Z21,Calendars!$O$1:$U$398,MATCH($X$1,Calendars!$O$1:$U$1,0),FALSE)="",Z20=0)</xm:f>
            <x14:dxf>
              <fill>
                <patternFill>
                  <bgColor theme="7" tint="0.79998168889431442"/>
                </patternFill>
              </fill>
            </x14:dxf>
          </x14:cfRule>
          <xm:sqref>Z20:AB20</xm:sqref>
        </x14:conditionalFormatting>
        <x14:conditionalFormatting xmlns:xm="http://schemas.microsoft.com/office/excel/2006/main">
          <x14:cfRule type="expression" priority="1100" id="{C34DD2EA-55C1-488C-8715-E316F700181A}">
            <xm:f>VLOOKUP(Z21,Calendars!$O$1:$U$398,MATCH($X$1,Calendars!$O$1:$U$1,0),FALSE)="Non Contract"</xm:f>
            <x14:dxf>
              <fill>
                <patternFill patternType="lightDown"/>
              </fill>
              <border>
                <bottom/>
              </border>
            </x14:dxf>
          </x14:cfRule>
          <x14:cfRule type="expression" priority="1109" id="{F3D6E1BE-30E7-4835-A10B-1E2ECE1D9006}">
            <xm:f>VLOOKUP(Z21,Calendars!$O$1:$U$398,MATCH($X$1,Calendars!$O$1:$U$1,0),FALSE)="Holiday"</xm:f>
            <x14:dxf>
              <fill>
                <patternFill>
                  <bgColor rgb="FFFF99FF"/>
                </patternFill>
              </fill>
              <border>
                <bottom/>
              </border>
            </x14:dxf>
          </x14:cfRule>
          <xm:sqref>Z20:AB20</xm:sqref>
        </x14:conditionalFormatting>
        <x14:conditionalFormatting xmlns:xm="http://schemas.microsoft.com/office/excel/2006/main">
          <x14:cfRule type="expression" priority="1089" id="{EF0667E2-1BBF-4E57-B349-C3414ED3C2C2}">
            <xm:f>AND(VLOOKUP(X23,Calendars!$O$1:$U$398,MATCH($X$1,Calendars!$O$1:$U$1,0),FALSE)="Non Contract",$C$5&gt;0)</xm:f>
            <x14:dxf>
              <fill>
                <patternFill patternType="solid">
                  <fgColor theme="4" tint="0.79998168889431442"/>
                  <bgColor theme="8" tint="0.79995117038483843"/>
                </patternFill>
              </fill>
            </x14:dxf>
          </x14:cfRule>
          <xm:sqref>X22</xm:sqref>
        </x14:conditionalFormatting>
        <x14:conditionalFormatting xmlns:xm="http://schemas.microsoft.com/office/excel/2006/main">
          <x14:cfRule type="expression" priority="1099" id="{5A413EC4-D380-4195-B6DC-D0AF5F3ECF87}">
            <xm:f>AND(VLOOKUP(X23,Calendars!$O$1:$U$398,MATCH($X$1,Calendars!$O$1:$U$1,0),FALSE)="",X22=0)</xm:f>
            <x14:dxf>
              <fill>
                <patternFill>
                  <bgColor theme="7" tint="0.79998168889431442"/>
                </patternFill>
              </fill>
            </x14:dxf>
          </x14:cfRule>
          <xm:sqref>X22</xm:sqref>
        </x14:conditionalFormatting>
        <x14:conditionalFormatting xmlns:xm="http://schemas.microsoft.com/office/excel/2006/main">
          <x14:cfRule type="expression" priority="1088" id="{A5EA1D46-5018-489A-800F-C7CE7B55C556}">
            <xm:f>VLOOKUP(X23,Calendars!$O$1:$U$398,MATCH($X$1,Calendars!$O$1:$U$1,0),FALSE)="Non Contract"</xm:f>
            <x14:dxf>
              <fill>
                <patternFill patternType="lightDown"/>
              </fill>
              <border>
                <bottom/>
              </border>
            </x14:dxf>
          </x14:cfRule>
          <x14:cfRule type="expression" priority="1097" id="{D3D5B3B1-825C-4F88-9EE0-A1C265A83E7A}">
            <xm:f>VLOOKUP(X23,Calendars!$O$1:$U$398,MATCH($X$1,Calendars!$O$1:$U$1,0),FALSE)="Holiday"</xm:f>
            <x14:dxf>
              <fill>
                <patternFill>
                  <bgColor rgb="FFFF99FF"/>
                </patternFill>
              </fill>
              <border>
                <bottom/>
              </border>
            </x14:dxf>
          </x14:cfRule>
          <xm:sqref>X22</xm:sqref>
        </x14:conditionalFormatting>
        <x14:conditionalFormatting xmlns:xm="http://schemas.microsoft.com/office/excel/2006/main">
          <x14:cfRule type="expression" priority="1077" id="{B215650C-5D8B-4610-BCD6-1D05D19FAFC9}">
            <xm:f>AND(VLOOKUP(Y23,Calendars!$O$1:$U$398,MATCH($X$1,Calendars!$O$1:$U$1,0),FALSE)="Non Contract",$C$5&gt;0)</xm:f>
            <x14:dxf>
              <fill>
                <patternFill patternType="solid">
                  <fgColor theme="4" tint="0.79998168889431442"/>
                  <bgColor theme="8" tint="0.79995117038483843"/>
                </patternFill>
              </fill>
            </x14:dxf>
          </x14:cfRule>
          <xm:sqref>Y22</xm:sqref>
        </x14:conditionalFormatting>
        <x14:conditionalFormatting xmlns:xm="http://schemas.microsoft.com/office/excel/2006/main">
          <x14:cfRule type="expression" priority="1087" id="{FE596AB4-419F-4752-89EF-89981A3FCEAE}">
            <xm:f>AND(VLOOKUP(Y23,Calendars!$O$1:$U$398,MATCH($X$1,Calendars!$O$1:$U$1,0),FALSE)="",Y22=0)</xm:f>
            <x14:dxf>
              <fill>
                <patternFill>
                  <bgColor theme="7" tint="0.79998168889431442"/>
                </patternFill>
              </fill>
            </x14:dxf>
          </x14:cfRule>
          <xm:sqref>Y22</xm:sqref>
        </x14:conditionalFormatting>
        <x14:conditionalFormatting xmlns:xm="http://schemas.microsoft.com/office/excel/2006/main">
          <x14:cfRule type="expression" priority="1076" id="{0EE7FD55-5296-478B-BF5A-08E405A1197E}">
            <xm:f>VLOOKUP(Y23,Calendars!$O$1:$U$398,MATCH($X$1,Calendars!$O$1:$U$1,0),FALSE)="Non Contract"</xm:f>
            <x14:dxf>
              <fill>
                <patternFill patternType="lightDown"/>
              </fill>
              <border>
                <bottom/>
              </border>
            </x14:dxf>
          </x14:cfRule>
          <x14:cfRule type="expression" priority="1085" id="{BE55050B-188A-41AD-BDB2-80A0E82483DB}">
            <xm:f>VLOOKUP(Y23,Calendars!$O$1:$U$398,MATCH($X$1,Calendars!$O$1:$U$1,0),FALSE)="Holiday"</xm:f>
            <x14:dxf>
              <fill>
                <patternFill>
                  <bgColor rgb="FFFF99FF"/>
                </patternFill>
              </fill>
              <border>
                <bottom/>
              </border>
            </x14:dxf>
          </x14:cfRule>
          <xm:sqref>Y22</xm:sqref>
        </x14:conditionalFormatting>
        <x14:conditionalFormatting xmlns:xm="http://schemas.microsoft.com/office/excel/2006/main">
          <x14:cfRule type="expression" priority="1065" id="{ECD68F49-3F1B-43DB-B786-4E0989BB2BE4}">
            <xm:f>AND(VLOOKUP(Z23,Calendars!$O$1:$U$398,MATCH($X$1,Calendars!$O$1:$U$1,0),FALSE)="Non Contract",$C$5&gt;0)</xm:f>
            <x14:dxf>
              <fill>
                <patternFill patternType="solid">
                  <fgColor theme="4" tint="0.79998168889431442"/>
                  <bgColor theme="8" tint="0.79995117038483843"/>
                </patternFill>
              </fill>
            </x14:dxf>
          </x14:cfRule>
          <xm:sqref>Z22:AB22</xm:sqref>
        </x14:conditionalFormatting>
        <x14:conditionalFormatting xmlns:xm="http://schemas.microsoft.com/office/excel/2006/main">
          <x14:cfRule type="expression" priority="1075" id="{89DB6CCE-ED6B-4634-8586-A6451F4EB226}">
            <xm:f>AND(VLOOKUP(Z23,Calendars!$O$1:$U$398,MATCH($X$1,Calendars!$O$1:$U$1,0),FALSE)="",Z22=0)</xm:f>
            <x14:dxf>
              <fill>
                <patternFill>
                  <bgColor theme="7" tint="0.79998168889431442"/>
                </patternFill>
              </fill>
            </x14:dxf>
          </x14:cfRule>
          <xm:sqref>Z22:AB22</xm:sqref>
        </x14:conditionalFormatting>
        <x14:conditionalFormatting xmlns:xm="http://schemas.microsoft.com/office/excel/2006/main">
          <x14:cfRule type="expression" priority="1064" id="{63BBBAA8-2095-4391-89A2-B7A856F6D2F2}">
            <xm:f>VLOOKUP(Z23,Calendars!$O$1:$U$398,MATCH($X$1,Calendars!$O$1:$U$1,0),FALSE)="Non Contract"</xm:f>
            <x14:dxf>
              <fill>
                <patternFill patternType="lightDown"/>
              </fill>
              <border>
                <bottom/>
              </border>
            </x14:dxf>
          </x14:cfRule>
          <x14:cfRule type="expression" priority="1073" id="{290FE352-ED65-4F7C-A848-388C105E36E7}">
            <xm:f>VLOOKUP(Z23,Calendars!$O$1:$U$398,MATCH($X$1,Calendars!$O$1:$U$1,0),FALSE)="Holiday"</xm:f>
            <x14:dxf>
              <fill>
                <patternFill>
                  <bgColor rgb="FFFF99FF"/>
                </patternFill>
              </fill>
              <border>
                <bottom/>
              </border>
            </x14:dxf>
          </x14:cfRule>
          <xm:sqref>Z22:AB22</xm:sqref>
        </x14:conditionalFormatting>
        <x14:conditionalFormatting xmlns:xm="http://schemas.microsoft.com/office/excel/2006/main">
          <x14:cfRule type="expression" priority="1053" id="{3D6547DF-805F-46D0-8FFF-2C97669586E5}">
            <xm:f>AND(VLOOKUP(X25,Calendars!$O$1:$U$398,MATCH($X$1,Calendars!$O$1:$U$1,0),FALSE)="Non Contract",$C$5&gt;0)</xm:f>
            <x14:dxf>
              <fill>
                <patternFill patternType="solid">
                  <fgColor theme="4" tint="0.79998168889431442"/>
                  <bgColor theme="8" tint="0.79995117038483843"/>
                </patternFill>
              </fill>
            </x14:dxf>
          </x14:cfRule>
          <xm:sqref>X24</xm:sqref>
        </x14:conditionalFormatting>
        <x14:conditionalFormatting xmlns:xm="http://schemas.microsoft.com/office/excel/2006/main">
          <x14:cfRule type="expression" priority="1063" id="{CD511DD0-CB12-447A-AC0C-C3B3357A8204}">
            <xm:f>AND(VLOOKUP(X25,Calendars!$O$1:$U$398,MATCH($X$1,Calendars!$O$1:$U$1,0),FALSE)="",X24=0)</xm:f>
            <x14:dxf>
              <fill>
                <patternFill>
                  <bgColor theme="7" tint="0.79998168889431442"/>
                </patternFill>
              </fill>
            </x14:dxf>
          </x14:cfRule>
          <xm:sqref>X24</xm:sqref>
        </x14:conditionalFormatting>
        <x14:conditionalFormatting xmlns:xm="http://schemas.microsoft.com/office/excel/2006/main">
          <x14:cfRule type="expression" priority="1052" id="{31AF8084-E40F-49E3-BF26-0623912B1D82}">
            <xm:f>VLOOKUP(X25,Calendars!$O$1:$U$398,MATCH($X$1,Calendars!$O$1:$U$1,0),FALSE)="Non Contract"</xm:f>
            <x14:dxf>
              <fill>
                <patternFill patternType="lightDown"/>
              </fill>
              <border>
                <bottom/>
              </border>
            </x14:dxf>
          </x14:cfRule>
          <x14:cfRule type="expression" priority="1061" id="{05504C81-383F-4B57-8560-2991E2618261}">
            <xm:f>VLOOKUP(X25,Calendars!$O$1:$U$398,MATCH($X$1,Calendars!$O$1:$U$1,0),FALSE)="Holiday"</xm:f>
            <x14:dxf>
              <fill>
                <patternFill>
                  <bgColor rgb="FFFF99FF"/>
                </patternFill>
              </fill>
              <border>
                <bottom/>
              </border>
            </x14:dxf>
          </x14:cfRule>
          <xm:sqref>X24</xm:sqref>
        </x14:conditionalFormatting>
        <x14:conditionalFormatting xmlns:xm="http://schemas.microsoft.com/office/excel/2006/main">
          <x14:cfRule type="expression" priority="1041" id="{E2B06F6E-FEB1-4D1F-B56B-7C9FB2661A97}">
            <xm:f>AND(VLOOKUP(Y25,Calendars!$O$1:$U$398,MATCH($X$1,Calendars!$O$1:$U$1,0),FALSE)="Non Contract",$C$5&gt;0)</xm:f>
            <x14:dxf>
              <fill>
                <patternFill patternType="solid">
                  <fgColor theme="4" tint="0.79998168889431442"/>
                  <bgColor theme="8" tint="0.79995117038483843"/>
                </patternFill>
              </fill>
            </x14:dxf>
          </x14:cfRule>
          <xm:sqref>Y24</xm:sqref>
        </x14:conditionalFormatting>
        <x14:conditionalFormatting xmlns:xm="http://schemas.microsoft.com/office/excel/2006/main">
          <x14:cfRule type="expression" priority="1051" id="{1E19449A-FB7F-4971-ACA6-4037180D1A88}">
            <xm:f>AND(VLOOKUP(Y25,Calendars!$O$1:$U$398,MATCH($X$1,Calendars!$O$1:$U$1,0),FALSE)="",Y24=0)</xm:f>
            <x14:dxf>
              <fill>
                <patternFill>
                  <bgColor theme="7" tint="0.79998168889431442"/>
                </patternFill>
              </fill>
            </x14:dxf>
          </x14:cfRule>
          <xm:sqref>Y24</xm:sqref>
        </x14:conditionalFormatting>
        <x14:conditionalFormatting xmlns:xm="http://schemas.microsoft.com/office/excel/2006/main">
          <x14:cfRule type="expression" priority="1040" id="{6FEBE9CA-633E-44BC-818D-D375E1597FD4}">
            <xm:f>VLOOKUP(Y25,Calendars!$O$1:$U$398,MATCH($X$1,Calendars!$O$1:$U$1,0),FALSE)="Non Contract"</xm:f>
            <x14:dxf>
              <fill>
                <patternFill patternType="lightDown"/>
              </fill>
              <border>
                <bottom/>
              </border>
            </x14:dxf>
          </x14:cfRule>
          <x14:cfRule type="expression" priority="1049" id="{DC2A0600-14FA-4441-A880-9A9E3CE7D42A}">
            <xm:f>VLOOKUP(Y25,Calendars!$O$1:$U$398,MATCH($X$1,Calendars!$O$1:$U$1,0),FALSE)="Holiday"</xm:f>
            <x14:dxf>
              <fill>
                <patternFill>
                  <bgColor rgb="FFFF99FF"/>
                </patternFill>
              </fill>
              <border>
                <bottom/>
              </border>
            </x14:dxf>
          </x14:cfRule>
          <xm:sqref>Y24</xm:sqref>
        </x14:conditionalFormatting>
        <x14:conditionalFormatting xmlns:xm="http://schemas.microsoft.com/office/excel/2006/main">
          <x14:cfRule type="expression" priority="1029" id="{F99C9259-2C67-4D51-835C-7A8FD3143DF6}">
            <xm:f>AND(VLOOKUP(Z25,Calendars!$O$1:$U$398,MATCH($X$1,Calendars!$O$1:$U$1,0),FALSE)="Non Contract",$C$5&gt;0)</xm:f>
            <x14:dxf>
              <fill>
                <patternFill patternType="solid">
                  <fgColor theme="4" tint="0.79998168889431442"/>
                  <bgColor theme="8" tint="0.79995117038483843"/>
                </patternFill>
              </fill>
            </x14:dxf>
          </x14:cfRule>
          <xm:sqref>Z24:AB24</xm:sqref>
        </x14:conditionalFormatting>
        <x14:conditionalFormatting xmlns:xm="http://schemas.microsoft.com/office/excel/2006/main">
          <x14:cfRule type="expression" priority="1039" id="{EE7899B6-B6C2-4E27-8907-49D8C0B24E21}">
            <xm:f>AND(VLOOKUP(Z25,Calendars!$O$1:$U$398,MATCH($X$1,Calendars!$O$1:$U$1,0),FALSE)="",Z24=0)</xm:f>
            <x14:dxf>
              <fill>
                <patternFill>
                  <bgColor theme="7" tint="0.79998168889431442"/>
                </patternFill>
              </fill>
            </x14:dxf>
          </x14:cfRule>
          <xm:sqref>Z24:AB24</xm:sqref>
        </x14:conditionalFormatting>
        <x14:conditionalFormatting xmlns:xm="http://schemas.microsoft.com/office/excel/2006/main">
          <x14:cfRule type="expression" priority="1028" id="{714D09F1-41B8-450D-9B01-71ED8D3A592A}">
            <xm:f>VLOOKUP(Z25,Calendars!$O$1:$U$398,MATCH($X$1,Calendars!$O$1:$U$1,0),FALSE)="Non Contract"</xm:f>
            <x14:dxf>
              <fill>
                <patternFill patternType="lightDown"/>
              </fill>
              <border>
                <bottom/>
              </border>
            </x14:dxf>
          </x14:cfRule>
          <x14:cfRule type="expression" priority="1037" id="{418909F2-3B50-4E12-A8AE-E57DFA88F69C}">
            <xm:f>VLOOKUP(Z25,Calendars!$O$1:$U$398,MATCH($X$1,Calendars!$O$1:$U$1,0),FALSE)="Holiday"</xm:f>
            <x14:dxf>
              <fill>
                <patternFill>
                  <bgColor rgb="FFFF99FF"/>
                </patternFill>
              </fill>
              <border>
                <bottom/>
              </border>
            </x14:dxf>
          </x14:cfRule>
          <xm:sqref>Z24:AB24</xm:sqref>
        </x14:conditionalFormatting>
        <x14:conditionalFormatting xmlns:xm="http://schemas.microsoft.com/office/excel/2006/main">
          <x14:cfRule type="expression" priority="1017" id="{C4174398-03E3-425A-A3D3-6E35F5A1D1B3}">
            <xm:f>AND(VLOOKUP(C28,Calendars!$O$1:$U$398,MATCH($X$1,Calendars!$O$1:$U$1,0),FALSE)="Non Contract",$C$5&gt;0)</xm:f>
            <x14:dxf>
              <fill>
                <patternFill patternType="solid">
                  <fgColor theme="4" tint="0.79998168889431442"/>
                  <bgColor theme="8" tint="0.79995117038483843"/>
                </patternFill>
              </fill>
            </x14:dxf>
          </x14:cfRule>
          <xm:sqref>C27</xm:sqref>
        </x14:conditionalFormatting>
        <x14:conditionalFormatting xmlns:xm="http://schemas.microsoft.com/office/excel/2006/main">
          <x14:cfRule type="expression" priority="1027" id="{155247DA-57D9-4E4D-95D7-A8B4C2772C3B}">
            <xm:f>AND(VLOOKUP(C28,Calendars!$O$1:$U$398,MATCH($X$1,Calendars!$O$1:$U$1,0),FALSE)="",C27=0)</xm:f>
            <x14:dxf>
              <fill>
                <patternFill>
                  <bgColor theme="7" tint="0.79998168889431442"/>
                </patternFill>
              </fill>
            </x14:dxf>
          </x14:cfRule>
          <xm:sqref>C27</xm:sqref>
        </x14:conditionalFormatting>
        <x14:conditionalFormatting xmlns:xm="http://schemas.microsoft.com/office/excel/2006/main">
          <x14:cfRule type="expression" priority="1016" id="{6E0239E7-6A99-415B-B93F-7D46DB8ECBF0}">
            <xm:f>VLOOKUP(C28,Calendars!$O$1:$U$398,MATCH($X$1,Calendars!$O$1:$U$1,0),FALSE)="Non Contract"</xm:f>
            <x14:dxf>
              <fill>
                <patternFill patternType="lightDown"/>
              </fill>
              <border>
                <bottom/>
              </border>
            </x14:dxf>
          </x14:cfRule>
          <x14:cfRule type="expression" priority="1025" id="{D89D61E6-9431-4BBD-91EC-6D2476DC5349}">
            <xm:f>VLOOKUP(C28,Calendars!$O$1:$U$398,MATCH($X$1,Calendars!$O$1:$U$1,0),FALSE)="Holiday"</xm:f>
            <x14:dxf>
              <fill>
                <patternFill>
                  <bgColor rgb="FFFF99FF"/>
                </patternFill>
              </fill>
              <border>
                <bottom/>
              </border>
            </x14:dxf>
          </x14:cfRule>
          <xm:sqref>C27</xm:sqref>
        </x14:conditionalFormatting>
        <x14:conditionalFormatting xmlns:xm="http://schemas.microsoft.com/office/excel/2006/main">
          <x14:cfRule type="expression" priority="1005" id="{08009EBC-84B9-4A91-81AB-EB702C09982A}">
            <xm:f>AND(VLOOKUP(D28,Calendars!$O$1:$U$398,MATCH($X$1,Calendars!$O$1:$U$1,0),FALSE)="Non Contract",$C$5&gt;0)</xm:f>
            <x14:dxf>
              <fill>
                <patternFill patternType="solid">
                  <fgColor theme="4" tint="0.79998168889431442"/>
                  <bgColor theme="8" tint="0.79995117038483843"/>
                </patternFill>
              </fill>
            </x14:dxf>
          </x14:cfRule>
          <xm:sqref>D27</xm:sqref>
        </x14:conditionalFormatting>
        <x14:conditionalFormatting xmlns:xm="http://schemas.microsoft.com/office/excel/2006/main">
          <x14:cfRule type="expression" priority="1015" id="{EA0944A4-B7B7-41D4-9586-F8DA68E22BB6}">
            <xm:f>AND(VLOOKUP(D28,Calendars!$O$1:$U$398,MATCH($X$1,Calendars!$O$1:$U$1,0),FALSE)="",D27=0)</xm:f>
            <x14:dxf>
              <fill>
                <patternFill>
                  <bgColor theme="7" tint="0.79998168889431442"/>
                </patternFill>
              </fill>
            </x14:dxf>
          </x14:cfRule>
          <xm:sqref>D27</xm:sqref>
        </x14:conditionalFormatting>
        <x14:conditionalFormatting xmlns:xm="http://schemas.microsoft.com/office/excel/2006/main">
          <x14:cfRule type="expression" priority="1004" id="{9D3A231D-73D1-4763-9C6C-CEBDB5B95D6A}">
            <xm:f>VLOOKUP(D28,Calendars!$O$1:$U$398,MATCH($X$1,Calendars!$O$1:$U$1,0),FALSE)="Non Contract"</xm:f>
            <x14:dxf>
              <fill>
                <patternFill patternType="lightDown"/>
              </fill>
              <border>
                <bottom/>
              </border>
            </x14:dxf>
          </x14:cfRule>
          <x14:cfRule type="expression" priority="1013" id="{311DBE93-7293-46BD-90EE-45035E9F332A}">
            <xm:f>VLOOKUP(D28,Calendars!$O$1:$U$398,MATCH($X$1,Calendars!$O$1:$U$1,0),FALSE)="Holiday"</xm:f>
            <x14:dxf>
              <fill>
                <patternFill>
                  <bgColor rgb="FFFF99FF"/>
                </patternFill>
              </fill>
              <border>
                <bottom/>
              </border>
            </x14:dxf>
          </x14:cfRule>
          <xm:sqref>D27</xm:sqref>
        </x14:conditionalFormatting>
        <x14:conditionalFormatting xmlns:xm="http://schemas.microsoft.com/office/excel/2006/main">
          <x14:cfRule type="expression" priority="993" id="{B4705324-235D-48A1-8E3A-98FBD6F5763B}">
            <xm:f>AND(VLOOKUP(E28,Calendars!$O$1:$U$398,MATCH($X$1,Calendars!$O$1:$U$1,0),FALSE)="Non Contract",$C$5&gt;0)</xm:f>
            <x14:dxf>
              <fill>
                <patternFill patternType="solid">
                  <fgColor theme="4" tint="0.79998168889431442"/>
                  <bgColor theme="8" tint="0.79995117038483843"/>
                </patternFill>
              </fill>
            </x14:dxf>
          </x14:cfRule>
          <xm:sqref>E27:G27</xm:sqref>
        </x14:conditionalFormatting>
        <x14:conditionalFormatting xmlns:xm="http://schemas.microsoft.com/office/excel/2006/main">
          <x14:cfRule type="expression" priority="1003" id="{03078661-D3A1-4777-98F5-94171E6C925B}">
            <xm:f>AND(VLOOKUP(E28,Calendars!$O$1:$U$398,MATCH($X$1,Calendars!$O$1:$U$1,0),FALSE)="",E27=0)</xm:f>
            <x14:dxf>
              <fill>
                <patternFill>
                  <bgColor theme="7" tint="0.79998168889431442"/>
                </patternFill>
              </fill>
            </x14:dxf>
          </x14:cfRule>
          <xm:sqref>E27:G27</xm:sqref>
        </x14:conditionalFormatting>
        <x14:conditionalFormatting xmlns:xm="http://schemas.microsoft.com/office/excel/2006/main">
          <x14:cfRule type="expression" priority="992" id="{B79F7CED-CE2F-487B-8434-C11D7F32591E}">
            <xm:f>VLOOKUP(E28,Calendars!$O$1:$U$398,MATCH($X$1,Calendars!$O$1:$U$1,0),FALSE)="Non Contract"</xm:f>
            <x14:dxf>
              <fill>
                <patternFill patternType="lightDown"/>
              </fill>
              <border>
                <bottom/>
              </border>
            </x14:dxf>
          </x14:cfRule>
          <x14:cfRule type="expression" priority="1001" id="{57DED4DB-3749-44A9-97D7-2A1E099F0C28}">
            <xm:f>VLOOKUP(E28,Calendars!$O$1:$U$398,MATCH($X$1,Calendars!$O$1:$U$1,0),FALSE)="Holiday"</xm:f>
            <x14:dxf>
              <fill>
                <patternFill>
                  <bgColor rgb="FFFF99FF"/>
                </patternFill>
              </fill>
              <border>
                <bottom/>
              </border>
            </x14:dxf>
          </x14:cfRule>
          <xm:sqref>E27:G27</xm:sqref>
        </x14:conditionalFormatting>
        <x14:conditionalFormatting xmlns:xm="http://schemas.microsoft.com/office/excel/2006/main">
          <x14:cfRule type="expression" priority="981" id="{47C0514B-B057-42AE-87F1-B7311A37FDBF}">
            <xm:f>AND(VLOOKUP(C30,Calendars!$O$1:$U$398,MATCH($X$1,Calendars!$O$1:$U$1,0),FALSE)="Non Contract",$C$5&gt;0)</xm:f>
            <x14:dxf>
              <fill>
                <patternFill patternType="solid">
                  <fgColor theme="4" tint="0.79998168889431442"/>
                  <bgColor theme="8" tint="0.79995117038483843"/>
                </patternFill>
              </fill>
            </x14:dxf>
          </x14:cfRule>
          <xm:sqref>C29</xm:sqref>
        </x14:conditionalFormatting>
        <x14:conditionalFormatting xmlns:xm="http://schemas.microsoft.com/office/excel/2006/main">
          <x14:cfRule type="expression" priority="991" id="{BC9E8CF3-F201-40A7-A89C-1D6640393B6D}">
            <xm:f>AND(VLOOKUP(C30,Calendars!$O$1:$U$398,MATCH($X$1,Calendars!$O$1:$U$1,0),FALSE)="",C29=0)</xm:f>
            <x14:dxf>
              <fill>
                <patternFill>
                  <bgColor theme="7" tint="0.79998168889431442"/>
                </patternFill>
              </fill>
            </x14:dxf>
          </x14:cfRule>
          <xm:sqref>C29</xm:sqref>
        </x14:conditionalFormatting>
        <x14:conditionalFormatting xmlns:xm="http://schemas.microsoft.com/office/excel/2006/main">
          <x14:cfRule type="expression" priority="980" id="{74D1FE2D-1422-42B4-A6EA-CF81A479C461}">
            <xm:f>VLOOKUP(C30,Calendars!$O$1:$U$398,MATCH($X$1,Calendars!$O$1:$U$1,0),FALSE)="Non Contract"</xm:f>
            <x14:dxf>
              <fill>
                <patternFill patternType="lightDown"/>
              </fill>
              <border>
                <bottom/>
              </border>
            </x14:dxf>
          </x14:cfRule>
          <x14:cfRule type="expression" priority="989" id="{A9DA9FF0-44E5-45F6-B6BB-9720F11C80BA}">
            <xm:f>VLOOKUP(C30,Calendars!$O$1:$U$398,MATCH($X$1,Calendars!$O$1:$U$1,0),FALSE)="Holiday"</xm:f>
            <x14:dxf>
              <fill>
                <patternFill>
                  <bgColor rgb="FFFF99FF"/>
                </patternFill>
              </fill>
              <border>
                <bottom/>
              </border>
            </x14:dxf>
          </x14:cfRule>
          <xm:sqref>C29</xm:sqref>
        </x14:conditionalFormatting>
        <x14:conditionalFormatting xmlns:xm="http://schemas.microsoft.com/office/excel/2006/main">
          <x14:cfRule type="expression" priority="969" id="{14C2A8B3-434B-4B5B-852F-659C4EB87D5F}">
            <xm:f>AND(VLOOKUP(D30,Calendars!$O$1:$U$398,MATCH($X$1,Calendars!$O$1:$U$1,0),FALSE)="Non Contract",$C$5&gt;0)</xm:f>
            <x14:dxf>
              <fill>
                <patternFill patternType="solid">
                  <fgColor theme="4" tint="0.79998168889431442"/>
                  <bgColor theme="8" tint="0.79995117038483843"/>
                </patternFill>
              </fill>
            </x14:dxf>
          </x14:cfRule>
          <xm:sqref>D29</xm:sqref>
        </x14:conditionalFormatting>
        <x14:conditionalFormatting xmlns:xm="http://schemas.microsoft.com/office/excel/2006/main">
          <x14:cfRule type="expression" priority="979" id="{46D8D3E5-9AFF-4B8E-97D7-27605C557838}">
            <xm:f>AND(VLOOKUP(D30,Calendars!$O$1:$U$398,MATCH($X$1,Calendars!$O$1:$U$1,0),FALSE)="",D29=0)</xm:f>
            <x14:dxf>
              <fill>
                <patternFill>
                  <bgColor theme="7" tint="0.79998168889431442"/>
                </patternFill>
              </fill>
            </x14:dxf>
          </x14:cfRule>
          <xm:sqref>D29</xm:sqref>
        </x14:conditionalFormatting>
        <x14:conditionalFormatting xmlns:xm="http://schemas.microsoft.com/office/excel/2006/main">
          <x14:cfRule type="expression" priority="968" id="{7353AC06-D1EC-4DAB-ACD4-F8FBF106A294}">
            <xm:f>VLOOKUP(D30,Calendars!$O$1:$U$398,MATCH($X$1,Calendars!$O$1:$U$1,0),FALSE)="Non Contract"</xm:f>
            <x14:dxf>
              <fill>
                <patternFill patternType="lightDown"/>
              </fill>
              <border>
                <bottom/>
              </border>
            </x14:dxf>
          </x14:cfRule>
          <x14:cfRule type="expression" priority="977" id="{0173032B-F384-4488-8C8E-04FDAB9F667A}">
            <xm:f>VLOOKUP(D30,Calendars!$O$1:$U$398,MATCH($X$1,Calendars!$O$1:$U$1,0),FALSE)="Holiday"</xm:f>
            <x14:dxf>
              <fill>
                <patternFill>
                  <bgColor rgb="FFFF99FF"/>
                </patternFill>
              </fill>
              <border>
                <bottom/>
              </border>
            </x14:dxf>
          </x14:cfRule>
          <xm:sqref>D29</xm:sqref>
        </x14:conditionalFormatting>
        <x14:conditionalFormatting xmlns:xm="http://schemas.microsoft.com/office/excel/2006/main">
          <x14:cfRule type="expression" priority="957" id="{6AC03C0B-DEA2-4FA4-8B4C-CF82A52CD7C1}">
            <xm:f>AND(VLOOKUP(E30,Calendars!$O$1:$U$398,MATCH($X$1,Calendars!$O$1:$U$1,0),FALSE)="Non Contract",$C$5&gt;0)</xm:f>
            <x14:dxf>
              <fill>
                <patternFill patternType="solid">
                  <fgColor theme="4" tint="0.79998168889431442"/>
                  <bgColor theme="8" tint="0.79995117038483843"/>
                </patternFill>
              </fill>
            </x14:dxf>
          </x14:cfRule>
          <xm:sqref>E29:G29</xm:sqref>
        </x14:conditionalFormatting>
        <x14:conditionalFormatting xmlns:xm="http://schemas.microsoft.com/office/excel/2006/main">
          <x14:cfRule type="expression" priority="967" id="{B543692A-624D-484F-8A0A-C6AA5CFA572A}">
            <xm:f>AND(VLOOKUP(E30,Calendars!$O$1:$U$398,MATCH($X$1,Calendars!$O$1:$U$1,0),FALSE)="",E29=0)</xm:f>
            <x14:dxf>
              <fill>
                <patternFill>
                  <bgColor theme="7" tint="0.79998168889431442"/>
                </patternFill>
              </fill>
            </x14:dxf>
          </x14:cfRule>
          <xm:sqref>E29:G29</xm:sqref>
        </x14:conditionalFormatting>
        <x14:conditionalFormatting xmlns:xm="http://schemas.microsoft.com/office/excel/2006/main">
          <x14:cfRule type="expression" priority="956" id="{6AC0466A-C078-4BB5-BE4B-A2D860643042}">
            <xm:f>VLOOKUP(E30,Calendars!$O$1:$U$398,MATCH($X$1,Calendars!$O$1:$U$1,0),FALSE)="Non Contract"</xm:f>
            <x14:dxf>
              <fill>
                <patternFill patternType="lightDown"/>
              </fill>
              <border>
                <bottom/>
              </border>
            </x14:dxf>
          </x14:cfRule>
          <x14:cfRule type="expression" priority="965" id="{A0AB9B23-75D1-4C38-8A40-210EF02F2ADC}">
            <xm:f>VLOOKUP(E30,Calendars!$O$1:$U$398,MATCH($X$1,Calendars!$O$1:$U$1,0),FALSE)="Holiday"</xm:f>
            <x14:dxf>
              <fill>
                <patternFill>
                  <bgColor rgb="FFFF99FF"/>
                </patternFill>
              </fill>
              <border>
                <bottom/>
              </border>
            </x14:dxf>
          </x14:cfRule>
          <xm:sqref>E29:G29</xm:sqref>
        </x14:conditionalFormatting>
        <x14:conditionalFormatting xmlns:xm="http://schemas.microsoft.com/office/excel/2006/main">
          <x14:cfRule type="expression" priority="945" id="{B2B2ABCE-1A93-4B1F-9487-44383241BBE8}">
            <xm:f>AND(VLOOKUP(C32,Calendars!$O$1:$U$398,MATCH($X$1,Calendars!$O$1:$U$1,0),FALSE)="Non Contract",$C$5&gt;0)</xm:f>
            <x14:dxf>
              <fill>
                <patternFill patternType="solid">
                  <fgColor theme="4" tint="0.79998168889431442"/>
                  <bgColor theme="8" tint="0.79995117038483843"/>
                </patternFill>
              </fill>
            </x14:dxf>
          </x14:cfRule>
          <xm:sqref>C31</xm:sqref>
        </x14:conditionalFormatting>
        <x14:conditionalFormatting xmlns:xm="http://schemas.microsoft.com/office/excel/2006/main">
          <x14:cfRule type="expression" priority="955" id="{D3B937A4-7498-4F4D-99D4-584A0D01124D}">
            <xm:f>AND(VLOOKUP(C32,Calendars!$O$1:$U$398,MATCH($X$1,Calendars!$O$1:$U$1,0),FALSE)="",C31=0)</xm:f>
            <x14:dxf>
              <fill>
                <patternFill>
                  <bgColor theme="7" tint="0.79998168889431442"/>
                </patternFill>
              </fill>
            </x14:dxf>
          </x14:cfRule>
          <xm:sqref>C31</xm:sqref>
        </x14:conditionalFormatting>
        <x14:conditionalFormatting xmlns:xm="http://schemas.microsoft.com/office/excel/2006/main">
          <x14:cfRule type="expression" priority="944" id="{B7B2750F-7475-44DA-A3F5-D52BE32B7A66}">
            <xm:f>VLOOKUP(C32,Calendars!$O$1:$U$398,MATCH($X$1,Calendars!$O$1:$U$1,0),FALSE)="Non Contract"</xm:f>
            <x14:dxf>
              <fill>
                <patternFill patternType="lightDown"/>
              </fill>
              <border>
                <bottom/>
              </border>
            </x14:dxf>
          </x14:cfRule>
          <x14:cfRule type="expression" priority="953" id="{8E5A71B7-014B-40C9-A5EE-F37776C06BEE}">
            <xm:f>VLOOKUP(C32,Calendars!$O$1:$U$398,MATCH($X$1,Calendars!$O$1:$U$1,0),FALSE)="Holiday"</xm:f>
            <x14:dxf>
              <fill>
                <patternFill>
                  <bgColor rgb="FFFF99FF"/>
                </patternFill>
              </fill>
              <border>
                <bottom/>
              </border>
            </x14:dxf>
          </x14:cfRule>
          <xm:sqref>C31</xm:sqref>
        </x14:conditionalFormatting>
        <x14:conditionalFormatting xmlns:xm="http://schemas.microsoft.com/office/excel/2006/main">
          <x14:cfRule type="expression" priority="933" id="{82D3B5C6-B4CD-4D0B-9B5C-6DA60B2F265A}">
            <xm:f>AND(VLOOKUP(D32,Calendars!$O$1:$U$398,MATCH($X$1,Calendars!$O$1:$U$1,0),FALSE)="Non Contract",$C$5&gt;0)</xm:f>
            <x14:dxf>
              <fill>
                <patternFill patternType="solid">
                  <fgColor theme="4" tint="0.79998168889431442"/>
                  <bgColor theme="8" tint="0.79995117038483843"/>
                </patternFill>
              </fill>
            </x14:dxf>
          </x14:cfRule>
          <xm:sqref>D31</xm:sqref>
        </x14:conditionalFormatting>
        <x14:conditionalFormatting xmlns:xm="http://schemas.microsoft.com/office/excel/2006/main">
          <x14:cfRule type="expression" priority="943" id="{F2CFFDD7-CAA9-4C7B-B432-D60BE5E65337}">
            <xm:f>AND(VLOOKUP(D32,Calendars!$O$1:$U$398,MATCH($X$1,Calendars!$O$1:$U$1,0),FALSE)="",D31=0)</xm:f>
            <x14:dxf>
              <fill>
                <patternFill>
                  <bgColor theme="7" tint="0.79998168889431442"/>
                </patternFill>
              </fill>
            </x14:dxf>
          </x14:cfRule>
          <xm:sqref>D31</xm:sqref>
        </x14:conditionalFormatting>
        <x14:conditionalFormatting xmlns:xm="http://schemas.microsoft.com/office/excel/2006/main">
          <x14:cfRule type="expression" priority="932" id="{7D1226C8-933B-40BB-845D-CE9410123FA9}">
            <xm:f>VLOOKUP(D32,Calendars!$O$1:$U$398,MATCH($X$1,Calendars!$O$1:$U$1,0),FALSE)="Non Contract"</xm:f>
            <x14:dxf>
              <fill>
                <patternFill patternType="lightDown"/>
              </fill>
              <border>
                <bottom/>
              </border>
            </x14:dxf>
          </x14:cfRule>
          <x14:cfRule type="expression" priority="941" id="{57500828-118B-4AA4-B6CD-E19E0E9A9317}">
            <xm:f>VLOOKUP(D32,Calendars!$O$1:$U$398,MATCH($X$1,Calendars!$O$1:$U$1,0),FALSE)="Holiday"</xm:f>
            <x14:dxf>
              <fill>
                <patternFill>
                  <bgColor rgb="FFFF99FF"/>
                </patternFill>
              </fill>
              <border>
                <bottom/>
              </border>
            </x14:dxf>
          </x14:cfRule>
          <xm:sqref>D31</xm:sqref>
        </x14:conditionalFormatting>
        <x14:conditionalFormatting xmlns:xm="http://schemas.microsoft.com/office/excel/2006/main">
          <x14:cfRule type="expression" priority="921" id="{9FF29B3D-EEDB-4C63-84F8-B422215BA746}">
            <xm:f>AND(VLOOKUP(E32,Calendars!$O$1:$U$398,MATCH($X$1,Calendars!$O$1:$U$1,0),FALSE)="Non Contract",$C$5&gt;0)</xm:f>
            <x14:dxf>
              <fill>
                <patternFill patternType="solid">
                  <fgColor theme="4" tint="0.79998168889431442"/>
                  <bgColor theme="8" tint="0.79995117038483843"/>
                </patternFill>
              </fill>
            </x14:dxf>
          </x14:cfRule>
          <xm:sqref>E31:G31</xm:sqref>
        </x14:conditionalFormatting>
        <x14:conditionalFormatting xmlns:xm="http://schemas.microsoft.com/office/excel/2006/main">
          <x14:cfRule type="expression" priority="931" id="{40FD34A4-26FF-4A4E-A363-F02A54E09813}">
            <xm:f>AND(VLOOKUP(E32,Calendars!$O$1:$U$398,MATCH($X$1,Calendars!$O$1:$U$1,0),FALSE)="",E31=0)</xm:f>
            <x14:dxf>
              <fill>
                <patternFill>
                  <bgColor theme="7" tint="0.79998168889431442"/>
                </patternFill>
              </fill>
            </x14:dxf>
          </x14:cfRule>
          <xm:sqref>E31:G31</xm:sqref>
        </x14:conditionalFormatting>
        <x14:conditionalFormatting xmlns:xm="http://schemas.microsoft.com/office/excel/2006/main">
          <x14:cfRule type="expression" priority="920" id="{E8047CC4-EC04-4F61-9DFF-2175843E0A9B}">
            <xm:f>VLOOKUP(E32,Calendars!$O$1:$U$398,MATCH($X$1,Calendars!$O$1:$U$1,0),FALSE)="Non Contract"</xm:f>
            <x14:dxf>
              <fill>
                <patternFill patternType="lightDown"/>
              </fill>
              <border>
                <bottom/>
              </border>
            </x14:dxf>
          </x14:cfRule>
          <x14:cfRule type="expression" priority="929" id="{F1FD4D89-2805-4E02-A67B-4637705685B4}">
            <xm:f>VLOOKUP(E32,Calendars!$O$1:$U$398,MATCH($X$1,Calendars!$O$1:$U$1,0),FALSE)="Holiday"</xm:f>
            <x14:dxf>
              <fill>
                <patternFill>
                  <bgColor rgb="FFFF99FF"/>
                </patternFill>
              </fill>
              <border>
                <bottom/>
              </border>
            </x14:dxf>
          </x14:cfRule>
          <xm:sqref>E31:G31</xm:sqref>
        </x14:conditionalFormatting>
        <x14:conditionalFormatting xmlns:xm="http://schemas.microsoft.com/office/excel/2006/main">
          <x14:cfRule type="expression" priority="909" id="{346CCCD3-0ACC-4423-9237-F67F439F95C7}">
            <xm:f>AND(VLOOKUP(C34,Calendars!$O$1:$U$398,MATCH($X$1,Calendars!$O$1:$U$1,0),FALSE)="Non Contract",$C$5&gt;0)</xm:f>
            <x14:dxf>
              <fill>
                <patternFill patternType="solid">
                  <fgColor theme="4" tint="0.79998168889431442"/>
                  <bgColor theme="8" tint="0.79995117038483843"/>
                </patternFill>
              </fill>
            </x14:dxf>
          </x14:cfRule>
          <xm:sqref>C33</xm:sqref>
        </x14:conditionalFormatting>
        <x14:conditionalFormatting xmlns:xm="http://schemas.microsoft.com/office/excel/2006/main">
          <x14:cfRule type="expression" priority="919" id="{10443E92-7F8C-4673-A33D-6BEBE2E881BE}">
            <xm:f>AND(VLOOKUP(C34,Calendars!$O$1:$U$398,MATCH($X$1,Calendars!$O$1:$U$1,0),FALSE)="",C33=0)</xm:f>
            <x14:dxf>
              <fill>
                <patternFill>
                  <bgColor theme="7" tint="0.79998168889431442"/>
                </patternFill>
              </fill>
            </x14:dxf>
          </x14:cfRule>
          <xm:sqref>C33</xm:sqref>
        </x14:conditionalFormatting>
        <x14:conditionalFormatting xmlns:xm="http://schemas.microsoft.com/office/excel/2006/main">
          <x14:cfRule type="expression" priority="908" id="{B42FEFE9-8A88-4F21-8C28-F70BCBF125A0}">
            <xm:f>VLOOKUP(C34,Calendars!$O$1:$U$398,MATCH($X$1,Calendars!$O$1:$U$1,0),FALSE)="Non Contract"</xm:f>
            <x14:dxf>
              <fill>
                <patternFill patternType="lightDown"/>
              </fill>
              <border>
                <bottom/>
              </border>
            </x14:dxf>
          </x14:cfRule>
          <x14:cfRule type="expression" priority="917" id="{6A5F80A5-913A-40E3-A059-C964D9BFCFFE}">
            <xm:f>VLOOKUP(C34,Calendars!$O$1:$U$398,MATCH($X$1,Calendars!$O$1:$U$1,0),FALSE)="Holiday"</xm:f>
            <x14:dxf>
              <fill>
                <patternFill>
                  <bgColor rgb="FFFF99FF"/>
                </patternFill>
              </fill>
              <border>
                <bottom/>
              </border>
            </x14:dxf>
          </x14:cfRule>
          <xm:sqref>C33</xm:sqref>
        </x14:conditionalFormatting>
        <x14:conditionalFormatting xmlns:xm="http://schemas.microsoft.com/office/excel/2006/main">
          <x14:cfRule type="expression" priority="897" id="{EA7EA99D-5E1D-4ABA-AF22-6365916C06DB}">
            <xm:f>AND(VLOOKUP(D34,Calendars!$O$1:$U$398,MATCH($X$1,Calendars!$O$1:$U$1,0),FALSE)="Non Contract",$C$5&gt;0)</xm:f>
            <x14:dxf>
              <fill>
                <patternFill patternType="solid">
                  <fgColor theme="4" tint="0.79998168889431442"/>
                  <bgColor theme="8" tint="0.79995117038483843"/>
                </patternFill>
              </fill>
            </x14:dxf>
          </x14:cfRule>
          <xm:sqref>D33</xm:sqref>
        </x14:conditionalFormatting>
        <x14:conditionalFormatting xmlns:xm="http://schemas.microsoft.com/office/excel/2006/main">
          <x14:cfRule type="expression" priority="907" id="{6E128B9F-E1E6-4E79-9D5D-DC70578DBA35}">
            <xm:f>AND(VLOOKUP(D34,Calendars!$O$1:$U$398,MATCH($X$1,Calendars!$O$1:$U$1,0),FALSE)="",D33=0)</xm:f>
            <x14:dxf>
              <fill>
                <patternFill>
                  <bgColor theme="7" tint="0.79998168889431442"/>
                </patternFill>
              </fill>
            </x14:dxf>
          </x14:cfRule>
          <xm:sqref>D33</xm:sqref>
        </x14:conditionalFormatting>
        <x14:conditionalFormatting xmlns:xm="http://schemas.microsoft.com/office/excel/2006/main">
          <x14:cfRule type="expression" priority="896" id="{8FD76FBD-E062-4DEF-B713-AFF77F4B4A79}">
            <xm:f>VLOOKUP(D34,Calendars!$O$1:$U$398,MATCH($X$1,Calendars!$O$1:$U$1,0),FALSE)="Non Contract"</xm:f>
            <x14:dxf>
              <fill>
                <patternFill patternType="lightDown"/>
              </fill>
              <border>
                <bottom/>
              </border>
            </x14:dxf>
          </x14:cfRule>
          <x14:cfRule type="expression" priority="905" id="{40141F6D-7F6A-4EC0-BFFC-0A8FE38C921C}">
            <xm:f>VLOOKUP(D34,Calendars!$O$1:$U$398,MATCH($X$1,Calendars!$O$1:$U$1,0),FALSE)="Holiday"</xm:f>
            <x14:dxf>
              <fill>
                <patternFill>
                  <bgColor rgb="FFFF99FF"/>
                </patternFill>
              </fill>
              <border>
                <bottom/>
              </border>
            </x14:dxf>
          </x14:cfRule>
          <xm:sqref>D33</xm:sqref>
        </x14:conditionalFormatting>
        <x14:conditionalFormatting xmlns:xm="http://schemas.microsoft.com/office/excel/2006/main">
          <x14:cfRule type="expression" priority="885" id="{7FCF4F21-820D-4581-A6B0-11BA4C48D1F3}">
            <xm:f>AND(VLOOKUP(E34,Calendars!$O$1:$U$398,MATCH($X$1,Calendars!$O$1:$U$1,0),FALSE)="Non Contract",$C$5&gt;0)</xm:f>
            <x14:dxf>
              <fill>
                <patternFill patternType="solid">
                  <fgColor theme="4" tint="0.79998168889431442"/>
                  <bgColor theme="8" tint="0.79995117038483843"/>
                </patternFill>
              </fill>
            </x14:dxf>
          </x14:cfRule>
          <xm:sqref>E33:G33</xm:sqref>
        </x14:conditionalFormatting>
        <x14:conditionalFormatting xmlns:xm="http://schemas.microsoft.com/office/excel/2006/main">
          <x14:cfRule type="expression" priority="895" id="{B30F00EA-FE7E-4D2C-BE86-7E98D0A3C8BD}">
            <xm:f>AND(VLOOKUP(E34,Calendars!$O$1:$U$398,MATCH($X$1,Calendars!$O$1:$U$1,0),FALSE)="",E33=0)</xm:f>
            <x14:dxf>
              <fill>
                <patternFill>
                  <bgColor theme="7" tint="0.79998168889431442"/>
                </patternFill>
              </fill>
            </x14:dxf>
          </x14:cfRule>
          <xm:sqref>E33:G33</xm:sqref>
        </x14:conditionalFormatting>
        <x14:conditionalFormatting xmlns:xm="http://schemas.microsoft.com/office/excel/2006/main">
          <x14:cfRule type="expression" priority="884" id="{DAD320A6-FE5C-448D-8B00-CEF87D143278}">
            <xm:f>VLOOKUP(E34,Calendars!$O$1:$U$398,MATCH($X$1,Calendars!$O$1:$U$1,0),FALSE)="Non Contract"</xm:f>
            <x14:dxf>
              <fill>
                <patternFill patternType="lightDown"/>
              </fill>
              <border>
                <bottom/>
              </border>
            </x14:dxf>
          </x14:cfRule>
          <x14:cfRule type="expression" priority="893" id="{5D8F7D90-E798-43C4-AF01-17EA9B351F05}">
            <xm:f>VLOOKUP(E34,Calendars!$O$1:$U$398,MATCH($X$1,Calendars!$O$1:$U$1,0),FALSE)="Holiday"</xm:f>
            <x14:dxf>
              <fill>
                <patternFill>
                  <bgColor rgb="FFFF99FF"/>
                </patternFill>
              </fill>
              <border>
                <bottom/>
              </border>
            </x14:dxf>
          </x14:cfRule>
          <xm:sqref>E33:G33</xm:sqref>
        </x14:conditionalFormatting>
        <x14:conditionalFormatting xmlns:xm="http://schemas.microsoft.com/office/excel/2006/main">
          <x14:cfRule type="expression" priority="873" id="{7BF7D27E-DC21-4412-AD6F-AF176C28668B}">
            <xm:f>AND(VLOOKUP(C36,Calendars!$O$1:$U$398,MATCH($X$1,Calendars!$O$1:$U$1,0),FALSE)="Non Contract",$C$5&gt;0)</xm:f>
            <x14:dxf>
              <fill>
                <patternFill patternType="solid">
                  <fgColor theme="4" tint="0.79998168889431442"/>
                  <bgColor theme="8" tint="0.79995117038483843"/>
                </patternFill>
              </fill>
            </x14:dxf>
          </x14:cfRule>
          <xm:sqref>C35</xm:sqref>
        </x14:conditionalFormatting>
        <x14:conditionalFormatting xmlns:xm="http://schemas.microsoft.com/office/excel/2006/main">
          <x14:cfRule type="expression" priority="883" id="{39AD081C-76BF-47FC-A735-5A47FD13A502}">
            <xm:f>AND(VLOOKUP(C36,Calendars!$O$1:$U$398,MATCH($X$1,Calendars!$O$1:$U$1,0),FALSE)="",C35=0)</xm:f>
            <x14:dxf>
              <fill>
                <patternFill>
                  <bgColor theme="7" tint="0.79998168889431442"/>
                </patternFill>
              </fill>
            </x14:dxf>
          </x14:cfRule>
          <xm:sqref>C35</xm:sqref>
        </x14:conditionalFormatting>
        <x14:conditionalFormatting xmlns:xm="http://schemas.microsoft.com/office/excel/2006/main">
          <x14:cfRule type="expression" priority="872" id="{5B8D3B43-A18C-49F0-A56A-18FACACF898D}">
            <xm:f>VLOOKUP(C36,Calendars!$O$1:$U$398,MATCH($X$1,Calendars!$O$1:$U$1,0),FALSE)="Non Contract"</xm:f>
            <x14:dxf>
              <fill>
                <patternFill patternType="lightDown"/>
              </fill>
              <border>
                <bottom/>
              </border>
            </x14:dxf>
          </x14:cfRule>
          <x14:cfRule type="expression" priority="881" id="{04E7A26E-8908-4B92-B7B4-243E64D7F1F7}">
            <xm:f>VLOOKUP(C36,Calendars!$O$1:$U$398,MATCH($X$1,Calendars!$O$1:$U$1,0),FALSE)="Holiday"</xm:f>
            <x14:dxf>
              <fill>
                <patternFill>
                  <bgColor rgb="FFFF99FF"/>
                </patternFill>
              </fill>
              <border>
                <bottom/>
              </border>
            </x14:dxf>
          </x14:cfRule>
          <xm:sqref>C35</xm:sqref>
        </x14:conditionalFormatting>
        <x14:conditionalFormatting xmlns:xm="http://schemas.microsoft.com/office/excel/2006/main">
          <x14:cfRule type="expression" priority="861" id="{7DE7F238-6792-4714-815E-730D8CBAABDF}">
            <xm:f>AND(VLOOKUP(D36,Calendars!$O$1:$U$398,MATCH($X$1,Calendars!$O$1:$U$1,0),FALSE)="Non Contract",$C$5&gt;0)</xm:f>
            <x14:dxf>
              <fill>
                <patternFill patternType="solid">
                  <fgColor theme="4" tint="0.79998168889431442"/>
                  <bgColor theme="8" tint="0.79995117038483843"/>
                </patternFill>
              </fill>
            </x14:dxf>
          </x14:cfRule>
          <xm:sqref>D35</xm:sqref>
        </x14:conditionalFormatting>
        <x14:conditionalFormatting xmlns:xm="http://schemas.microsoft.com/office/excel/2006/main">
          <x14:cfRule type="expression" priority="871" id="{8D7A5061-39C3-4AE9-BF6E-3751E4DCA611}">
            <xm:f>AND(VLOOKUP(D36,Calendars!$O$1:$U$398,MATCH($X$1,Calendars!$O$1:$U$1,0),FALSE)="",D35=0)</xm:f>
            <x14:dxf>
              <fill>
                <patternFill>
                  <bgColor theme="7" tint="0.79998168889431442"/>
                </patternFill>
              </fill>
            </x14:dxf>
          </x14:cfRule>
          <xm:sqref>D35</xm:sqref>
        </x14:conditionalFormatting>
        <x14:conditionalFormatting xmlns:xm="http://schemas.microsoft.com/office/excel/2006/main">
          <x14:cfRule type="expression" priority="860" id="{5F62F40B-78C7-487F-B109-EFDE6F8A297C}">
            <xm:f>VLOOKUP(D36,Calendars!$O$1:$U$398,MATCH($X$1,Calendars!$O$1:$U$1,0),FALSE)="Non Contract"</xm:f>
            <x14:dxf>
              <fill>
                <patternFill patternType="lightDown"/>
              </fill>
              <border>
                <bottom/>
              </border>
            </x14:dxf>
          </x14:cfRule>
          <x14:cfRule type="expression" priority="869" id="{6B673D25-E193-49C0-A56E-F257C66C51D0}">
            <xm:f>VLOOKUP(D36,Calendars!$O$1:$U$398,MATCH($X$1,Calendars!$O$1:$U$1,0),FALSE)="Holiday"</xm:f>
            <x14:dxf>
              <fill>
                <patternFill>
                  <bgColor rgb="FFFF99FF"/>
                </patternFill>
              </fill>
              <border>
                <bottom/>
              </border>
            </x14:dxf>
          </x14:cfRule>
          <xm:sqref>D35</xm:sqref>
        </x14:conditionalFormatting>
        <x14:conditionalFormatting xmlns:xm="http://schemas.microsoft.com/office/excel/2006/main">
          <x14:cfRule type="expression" priority="849" id="{F539323C-9114-421E-9DFF-BEAA788883DF}">
            <xm:f>AND(VLOOKUP(E36,Calendars!$O$1:$U$398,MATCH($X$1,Calendars!$O$1:$U$1,0),FALSE)="Non Contract",$C$5&gt;0)</xm:f>
            <x14:dxf>
              <fill>
                <patternFill patternType="solid">
                  <fgColor theme="4" tint="0.79998168889431442"/>
                  <bgColor theme="8" tint="0.79995117038483843"/>
                </patternFill>
              </fill>
            </x14:dxf>
          </x14:cfRule>
          <xm:sqref>E35:G35</xm:sqref>
        </x14:conditionalFormatting>
        <x14:conditionalFormatting xmlns:xm="http://schemas.microsoft.com/office/excel/2006/main">
          <x14:cfRule type="expression" priority="859" id="{8882F4F5-EBE8-45A2-A171-C2CF77282078}">
            <xm:f>AND(VLOOKUP(E36,Calendars!$O$1:$U$398,MATCH($X$1,Calendars!$O$1:$U$1,0),FALSE)="",E35=0)</xm:f>
            <x14:dxf>
              <fill>
                <patternFill>
                  <bgColor theme="7" tint="0.79998168889431442"/>
                </patternFill>
              </fill>
            </x14:dxf>
          </x14:cfRule>
          <xm:sqref>E35:G35</xm:sqref>
        </x14:conditionalFormatting>
        <x14:conditionalFormatting xmlns:xm="http://schemas.microsoft.com/office/excel/2006/main">
          <x14:cfRule type="expression" priority="848" id="{5FBDFC7B-767A-4B31-876F-C4ADABC0CB65}">
            <xm:f>VLOOKUP(E36,Calendars!$O$1:$U$398,MATCH($X$1,Calendars!$O$1:$U$1,0),FALSE)="Non Contract"</xm:f>
            <x14:dxf>
              <fill>
                <patternFill patternType="lightDown"/>
              </fill>
              <border>
                <bottom/>
              </border>
            </x14:dxf>
          </x14:cfRule>
          <x14:cfRule type="expression" priority="857" id="{1A08612A-CE6E-4699-A0B4-5A6803681A75}">
            <xm:f>VLOOKUP(E36,Calendars!$O$1:$U$398,MATCH($X$1,Calendars!$O$1:$U$1,0),FALSE)="Holiday"</xm:f>
            <x14:dxf>
              <fill>
                <patternFill>
                  <bgColor rgb="FFFF99FF"/>
                </patternFill>
              </fill>
              <border>
                <bottom/>
              </border>
            </x14:dxf>
          </x14:cfRule>
          <xm:sqref>E35:G35</xm:sqref>
        </x14:conditionalFormatting>
        <x14:conditionalFormatting xmlns:xm="http://schemas.microsoft.com/office/excel/2006/main">
          <x14:cfRule type="expression" priority="837" id="{D7A8FB32-0C9B-4CC6-A33F-1C42213209E8}">
            <xm:f>AND(VLOOKUP(J28,Calendars!$O$1:$U$398,MATCH($X$1,Calendars!$O$1:$U$1,0),FALSE)="Non Contract",$C$5&gt;0)</xm:f>
            <x14:dxf>
              <fill>
                <patternFill patternType="solid">
                  <fgColor theme="4" tint="0.79998168889431442"/>
                  <bgColor theme="8" tint="0.79995117038483843"/>
                </patternFill>
              </fill>
            </x14:dxf>
          </x14:cfRule>
          <xm:sqref>J27</xm:sqref>
        </x14:conditionalFormatting>
        <x14:conditionalFormatting xmlns:xm="http://schemas.microsoft.com/office/excel/2006/main">
          <x14:cfRule type="expression" priority="847" id="{A9DFE776-828B-42CD-A191-3226C129EA65}">
            <xm:f>AND(VLOOKUP(J28,Calendars!$O$1:$U$398,MATCH($X$1,Calendars!$O$1:$U$1,0),FALSE)="",J27=0)</xm:f>
            <x14:dxf>
              <fill>
                <patternFill>
                  <bgColor theme="7" tint="0.79998168889431442"/>
                </patternFill>
              </fill>
            </x14:dxf>
          </x14:cfRule>
          <xm:sqref>J27</xm:sqref>
        </x14:conditionalFormatting>
        <x14:conditionalFormatting xmlns:xm="http://schemas.microsoft.com/office/excel/2006/main">
          <x14:cfRule type="expression" priority="836" id="{64730546-3310-4D1B-8E5F-5773D8BCD3A4}">
            <xm:f>VLOOKUP(J28,Calendars!$O$1:$U$398,MATCH($X$1,Calendars!$O$1:$U$1,0),FALSE)="Non Contract"</xm:f>
            <x14:dxf>
              <fill>
                <patternFill patternType="lightDown"/>
              </fill>
              <border>
                <bottom/>
              </border>
            </x14:dxf>
          </x14:cfRule>
          <x14:cfRule type="expression" priority="845" id="{961812F8-6FDC-4CE6-841A-1995835A195A}">
            <xm:f>VLOOKUP(J28,Calendars!$O$1:$U$398,MATCH($X$1,Calendars!$O$1:$U$1,0),FALSE)="Holiday"</xm:f>
            <x14:dxf>
              <fill>
                <patternFill>
                  <bgColor rgb="FFFF99FF"/>
                </patternFill>
              </fill>
              <border>
                <bottom/>
              </border>
            </x14:dxf>
          </x14:cfRule>
          <xm:sqref>J27</xm:sqref>
        </x14:conditionalFormatting>
        <x14:conditionalFormatting xmlns:xm="http://schemas.microsoft.com/office/excel/2006/main">
          <x14:cfRule type="expression" priority="825" id="{B4B4EB7B-9875-428B-876A-0FF1E8915782}">
            <xm:f>AND(VLOOKUP(K28,Calendars!$O$1:$U$398,MATCH($X$1,Calendars!$O$1:$U$1,0),FALSE)="Non Contract",$C$5&gt;0)</xm:f>
            <x14:dxf>
              <fill>
                <patternFill patternType="solid">
                  <fgColor theme="4" tint="0.79998168889431442"/>
                  <bgColor theme="8" tint="0.79995117038483843"/>
                </patternFill>
              </fill>
            </x14:dxf>
          </x14:cfRule>
          <xm:sqref>K27</xm:sqref>
        </x14:conditionalFormatting>
        <x14:conditionalFormatting xmlns:xm="http://schemas.microsoft.com/office/excel/2006/main">
          <x14:cfRule type="expression" priority="835" id="{0B37CD37-2C75-4D80-A2F0-9D2A9811E6A1}">
            <xm:f>AND(VLOOKUP(K28,Calendars!$O$1:$U$398,MATCH($X$1,Calendars!$O$1:$U$1,0),FALSE)="",K27=0)</xm:f>
            <x14:dxf>
              <fill>
                <patternFill>
                  <bgColor theme="7" tint="0.79998168889431442"/>
                </patternFill>
              </fill>
            </x14:dxf>
          </x14:cfRule>
          <xm:sqref>K27</xm:sqref>
        </x14:conditionalFormatting>
        <x14:conditionalFormatting xmlns:xm="http://schemas.microsoft.com/office/excel/2006/main">
          <x14:cfRule type="expression" priority="824" id="{465423E9-4596-4EC3-A2F7-F86C2A86A6CD}">
            <xm:f>VLOOKUP(K28,Calendars!$O$1:$U$398,MATCH($X$1,Calendars!$O$1:$U$1,0),FALSE)="Non Contract"</xm:f>
            <x14:dxf>
              <fill>
                <patternFill patternType="lightDown"/>
              </fill>
              <border>
                <bottom/>
              </border>
            </x14:dxf>
          </x14:cfRule>
          <x14:cfRule type="expression" priority="833" id="{3D25CB2E-5D98-49DC-B06E-9860344A24D0}">
            <xm:f>VLOOKUP(K28,Calendars!$O$1:$U$398,MATCH($X$1,Calendars!$O$1:$U$1,0),FALSE)="Holiday"</xm:f>
            <x14:dxf>
              <fill>
                <patternFill>
                  <bgColor rgb="FFFF99FF"/>
                </patternFill>
              </fill>
              <border>
                <bottom/>
              </border>
            </x14:dxf>
          </x14:cfRule>
          <xm:sqref>K27</xm:sqref>
        </x14:conditionalFormatting>
        <x14:conditionalFormatting xmlns:xm="http://schemas.microsoft.com/office/excel/2006/main">
          <x14:cfRule type="expression" priority="813" id="{326D20E7-CA5A-445B-B422-0A3E3A0195E9}">
            <xm:f>AND(VLOOKUP(L28,Calendars!$O$1:$U$398,MATCH($X$1,Calendars!$O$1:$U$1,0),FALSE)="Non Contract",$C$5&gt;0)</xm:f>
            <x14:dxf>
              <fill>
                <patternFill patternType="solid">
                  <fgColor theme="4" tint="0.79998168889431442"/>
                  <bgColor theme="8" tint="0.79995117038483843"/>
                </patternFill>
              </fill>
            </x14:dxf>
          </x14:cfRule>
          <xm:sqref>L27:N27</xm:sqref>
        </x14:conditionalFormatting>
        <x14:conditionalFormatting xmlns:xm="http://schemas.microsoft.com/office/excel/2006/main">
          <x14:cfRule type="expression" priority="823" id="{5A9116FD-677D-4896-A870-313AC1FB8315}">
            <xm:f>AND(VLOOKUP(L28,Calendars!$O$1:$U$398,MATCH($X$1,Calendars!$O$1:$U$1,0),FALSE)="",L27=0)</xm:f>
            <x14:dxf>
              <fill>
                <patternFill>
                  <bgColor theme="7" tint="0.79998168889431442"/>
                </patternFill>
              </fill>
            </x14:dxf>
          </x14:cfRule>
          <xm:sqref>L27:N27</xm:sqref>
        </x14:conditionalFormatting>
        <x14:conditionalFormatting xmlns:xm="http://schemas.microsoft.com/office/excel/2006/main">
          <x14:cfRule type="expression" priority="812" id="{34B10263-F5C2-48B8-B4F0-3EC76821D28F}">
            <xm:f>VLOOKUP(L28,Calendars!$O$1:$U$398,MATCH($X$1,Calendars!$O$1:$U$1,0),FALSE)="Non Contract"</xm:f>
            <x14:dxf>
              <fill>
                <patternFill patternType="lightDown"/>
              </fill>
              <border>
                <bottom/>
              </border>
            </x14:dxf>
          </x14:cfRule>
          <x14:cfRule type="expression" priority="821" id="{8B68D05C-3916-4BD3-A9BE-BFE466F6BD55}">
            <xm:f>VLOOKUP(L28,Calendars!$O$1:$U$398,MATCH($X$1,Calendars!$O$1:$U$1,0),FALSE)="Holiday"</xm:f>
            <x14:dxf>
              <fill>
                <patternFill>
                  <bgColor rgb="FFFF99FF"/>
                </patternFill>
              </fill>
              <border>
                <bottom/>
              </border>
            </x14:dxf>
          </x14:cfRule>
          <xm:sqref>L27:N27</xm:sqref>
        </x14:conditionalFormatting>
        <x14:conditionalFormatting xmlns:xm="http://schemas.microsoft.com/office/excel/2006/main">
          <x14:cfRule type="expression" priority="801" id="{57979830-9107-4831-ACB4-DEC9D8487619}">
            <xm:f>AND(VLOOKUP(J30,Calendars!$O$1:$U$398,MATCH($X$1,Calendars!$O$1:$U$1,0),FALSE)="Non Contract",$C$5&gt;0)</xm:f>
            <x14:dxf>
              <fill>
                <patternFill patternType="solid">
                  <fgColor theme="4" tint="0.79998168889431442"/>
                  <bgColor theme="8" tint="0.79995117038483843"/>
                </patternFill>
              </fill>
            </x14:dxf>
          </x14:cfRule>
          <xm:sqref>J29</xm:sqref>
        </x14:conditionalFormatting>
        <x14:conditionalFormatting xmlns:xm="http://schemas.microsoft.com/office/excel/2006/main">
          <x14:cfRule type="expression" priority="811" id="{EC3D986C-37E2-44F8-817A-989B42CB10B7}">
            <xm:f>AND(VLOOKUP(J30,Calendars!$O$1:$U$398,MATCH($X$1,Calendars!$O$1:$U$1,0),FALSE)="",J29=0)</xm:f>
            <x14:dxf>
              <fill>
                <patternFill>
                  <bgColor theme="7" tint="0.79998168889431442"/>
                </patternFill>
              </fill>
            </x14:dxf>
          </x14:cfRule>
          <xm:sqref>J29</xm:sqref>
        </x14:conditionalFormatting>
        <x14:conditionalFormatting xmlns:xm="http://schemas.microsoft.com/office/excel/2006/main">
          <x14:cfRule type="expression" priority="800" id="{E55C33B8-4BB2-4CBA-9A77-A9BBAA1F8126}">
            <xm:f>VLOOKUP(J30,Calendars!$O$1:$U$398,MATCH($X$1,Calendars!$O$1:$U$1,0),FALSE)="Non Contract"</xm:f>
            <x14:dxf>
              <fill>
                <patternFill patternType="lightDown"/>
              </fill>
              <border>
                <bottom/>
              </border>
            </x14:dxf>
          </x14:cfRule>
          <x14:cfRule type="expression" priority="809" id="{76A1B43A-E947-42B7-8BE4-9D44AD213D34}">
            <xm:f>VLOOKUP(J30,Calendars!$O$1:$U$398,MATCH($X$1,Calendars!$O$1:$U$1,0),FALSE)="Holiday"</xm:f>
            <x14:dxf>
              <fill>
                <patternFill>
                  <bgColor rgb="FFFF99FF"/>
                </patternFill>
              </fill>
              <border>
                <bottom/>
              </border>
            </x14:dxf>
          </x14:cfRule>
          <xm:sqref>J29</xm:sqref>
        </x14:conditionalFormatting>
        <x14:conditionalFormatting xmlns:xm="http://schemas.microsoft.com/office/excel/2006/main">
          <x14:cfRule type="expression" priority="789" id="{D15A7FF8-3096-4D9F-8F85-F7F906EC11CA}">
            <xm:f>AND(VLOOKUP(K30,Calendars!$O$1:$U$398,MATCH($X$1,Calendars!$O$1:$U$1,0),FALSE)="Non Contract",$C$5&gt;0)</xm:f>
            <x14:dxf>
              <fill>
                <patternFill patternType="solid">
                  <fgColor theme="4" tint="0.79998168889431442"/>
                  <bgColor theme="8" tint="0.79995117038483843"/>
                </patternFill>
              </fill>
            </x14:dxf>
          </x14:cfRule>
          <xm:sqref>K29</xm:sqref>
        </x14:conditionalFormatting>
        <x14:conditionalFormatting xmlns:xm="http://schemas.microsoft.com/office/excel/2006/main">
          <x14:cfRule type="expression" priority="799" id="{74ACB92D-F18B-492B-BA42-7AAAF742D308}">
            <xm:f>AND(VLOOKUP(K30,Calendars!$O$1:$U$398,MATCH($X$1,Calendars!$O$1:$U$1,0),FALSE)="",K29=0)</xm:f>
            <x14:dxf>
              <fill>
                <patternFill>
                  <bgColor theme="7" tint="0.79998168889431442"/>
                </patternFill>
              </fill>
            </x14:dxf>
          </x14:cfRule>
          <xm:sqref>K29</xm:sqref>
        </x14:conditionalFormatting>
        <x14:conditionalFormatting xmlns:xm="http://schemas.microsoft.com/office/excel/2006/main">
          <x14:cfRule type="expression" priority="788" id="{53C7BA8C-8676-441E-BA22-E7564A04F3E2}">
            <xm:f>VLOOKUP(K30,Calendars!$O$1:$U$398,MATCH($X$1,Calendars!$O$1:$U$1,0),FALSE)="Non Contract"</xm:f>
            <x14:dxf>
              <fill>
                <patternFill patternType="lightDown"/>
              </fill>
              <border>
                <bottom/>
              </border>
            </x14:dxf>
          </x14:cfRule>
          <x14:cfRule type="expression" priority="797" id="{A0A4578D-6BF9-4EF9-9567-C4968270722D}">
            <xm:f>VLOOKUP(K30,Calendars!$O$1:$U$398,MATCH($X$1,Calendars!$O$1:$U$1,0),FALSE)="Holiday"</xm:f>
            <x14:dxf>
              <fill>
                <patternFill>
                  <bgColor rgb="FFFF99FF"/>
                </patternFill>
              </fill>
              <border>
                <bottom/>
              </border>
            </x14:dxf>
          </x14:cfRule>
          <xm:sqref>K29</xm:sqref>
        </x14:conditionalFormatting>
        <x14:conditionalFormatting xmlns:xm="http://schemas.microsoft.com/office/excel/2006/main">
          <x14:cfRule type="expression" priority="777" id="{F4ED59F0-8770-49A4-87C1-E08CEB58F522}">
            <xm:f>AND(VLOOKUP(L30,Calendars!$O$1:$U$398,MATCH($X$1,Calendars!$O$1:$U$1,0),FALSE)="Non Contract",$C$5&gt;0)</xm:f>
            <x14:dxf>
              <fill>
                <patternFill patternType="solid">
                  <fgColor theme="4" tint="0.79998168889431442"/>
                  <bgColor theme="8" tint="0.79995117038483843"/>
                </patternFill>
              </fill>
            </x14:dxf>
          </x14:cfRule>
          <xm:sqref>L29:N29</xm:sqref>
        </x14:conditionalFormatting>
        <x14:conditionalFormatting xmlns:xm="http://schemas.microsoft.com/office/excel/2006/main">
          <x14:cfRule type="expression" priority="787" id="{63BE72DB-D2A2-4E9B-BB77-7D848F64F559}">
            <xm:f>AND(VLOOKUP(L30,Calendars!$O$1:$U$398,MATCH($X$1,Calendars!$O$1:$U$1,0),FALSE)="",L29=0)</xm:f>
            <x14:dxf>
              <fill>
                <patternFill>
                  <bgColor theme="7" tint="0.79998168889431442"/>
                </patternFill>
              </fill>
            </x14:dxf>
          </x14:cfRule>
          <xm:sqref>L29:N29</xm:sqref>
        </x14:conditionalFormatting>
        <x14:conditionalFormatting xmlns:xm="http://schemas.microsoft.com/office/excel/2006/main">
          <x14:cfRule type="expression" priority="776" id="{19863A6B-F150-4501-9831-3A93E9FC61EE}">
            <xm:f>VLOOKUP(L30,Calendars!$O$1:$U$398,MATCH($X$1,Calendars!$O$1:$U$1,0),FALSE)="Non Contract"</xm:f>
            <x14:dxf>
              <fill>
                <patternFill patternType="lightDown"/>
              </fill>
              <border>
                <bottom/>
              </border>
            </x14:dxf>
          </x14:cfRule>
          <x14:cfRule type="expression" priority="785" id="{18621199-DCA8-40EE-B66C-0D711FB1EEDE}">
            <xm:f>VLOOKUP(L30,Calendars!$O$1:$U$398,MATCH($X$1,Calendars!$O$1:$U$1,0),FALSE)="Holiday"</xm:f>
            <x14:dxf>
              <fill>
                <patternFill>
                  <bgColor rgb="FFFF99FF"/>
                </patternFill>
              </fill>
              <border>
                <bottom/>
              </border>
            </x14:dxf>
          </x14:cfRule>
          <xm:sqref>L29:N29</xm:sqref>
        </x14:conditionalFormatting>
        <x14:conditionalFormatting xmlns:xm="http://schemas.microsoft.com/office/excel/2006/main">
          <x14:cfRule type="expression" priority="765" id="{8E500B2E-1BCC-448D-8503-CD6814661EB3}">
            <xm:f>AND(VLOOKUP(J32,Calendars!$O$1:$U$398,MATCH($X$1,Calendars!$O$1:$U$1,0),FALSE)="Non Contract",$C$5&gt;0)</xm:f>
            <x14:dxf>
              <fill>
                <patternFill patternType="solid">
                  <fgColor theme="4" tint="0.79998168889431442"/>
                  <bgColor theme="8" tint="0.79995117038483843"/>
                </patternFill>
              </fill>
            </x14:dxf>
          </x14:cfRule>
          <xm:sqref>J31</xm:sqref>
        </x14:conditionalFormatting>
        <x14:conditionalFormatting xmlns:xm="http://schemas.microsoft.com/office/excel/2006/main">
          <x14:cfRule type="expression" priority="775" id="{2659D7E7-6880-460C-A904-E36F653BCE9E}">
            <xm:f>AND(VLOOKUP(J32,Calendars!$O$1:$U$398,MATCH($X$1,Calendars!$O$1:$U$1,0),FALSE)="",J31=0)</xm:f>
            <x14:dxf>
              <fill>
                <patternFill>
                  <bgColor theme="7" tint="0.79998168889431442"/>
                </patternFill>
              </fill>
            </x14:dxf>
          </x14:cfRule>
          <xm:sqref>J31</xm:sqref>
        </x14:conditionalFormatting>
        <x14:conditionalFormatting xmlns:xm="http://schemas.microsoft.com/office/excel/2006/main">
          <x14:cfRule type="expression" priority="764" id="{614F573A-D156-4CCA-BF19-F08B4AC40A78}">
            <xm:f>VLOOKUP(J32,Calendars!$O$1:$U$398,MATCH($X$1,Calendars!$O$1:$U$1,0),FALSE)="Non Contract"</xm:f>
            <x14:dxf>
              <fill>
                <patternFill patternType="lightDown"/>
              </fill>
              <border>
                <bottom/>
              </border>
            </x14:dxf>
          </x14:cfRule>
          <x14:cfRule type="expression" priority="773" id="{87A40A82-8948-4E84-841A-FAE631669E45}">
            <xm:f>VLOOKUP(J32,Calendars!$O$1:$U$398,MATCH($X$1,Calendars!$O$1:$U$1,0),FALSE)="Holiday"</xm:f>
            <x14:dxf>
              <fill>
                <patternFill>
                  <bgColor rgb="FFFF99FF"/>
                </patternFill>
              </fill>
              <border>
                <bottom/>
              </border>
            </x14:dxf>
          </x14:cfRule>
          <xm:sqref>J31</xm:sqref>
        </x14:conditionalFormatting>
        <x14:conditionalFormatting xmlns:xm="http://schemas.microsoft.com/office/excel/2006/main">
          <x14:cfRule type="expression" priority="753" id="{3C07EC5D-2A9C-4720-B4B0-82C56A8A1C47}">
            <xm:f>AND(VLOOKUP(K32,Calendars!$O$1:$U$398,MATCH($X$1,Calendars!$O$1:$U$1,0),FALSE)="Non Contract",$C$5&gt;0)</xm:f>
            <x14:dxf>
              <fill>
                <patternFill patternType="solid">
                  <fgColor theme="4" tint="0.79998168889431442"/>
                  <bgColor theme="8" tint="0.79995117038483843"/>
                </patternFill>
              </fill>
            </x14:dxf>
          </x14:cfRule>
          <xm:sqref>K31</xm:sqref>
        </x14:conditionalFormatting>
        <x14:conditionalFormatting xmlns:xm="http://schemas.microsoft.com/office/excel/2006/main">
          <x14:cfRule type="expression" priority="763" id="{54265695-A9AD-4662-B3F8-FFEB12F27FE6}">
            <xm:f>AND(VLOOKUP(K32,Calendars!$O$1:$U$398,MATCH($X$1,Calendars!$O$1:$U$1,0),FALSE)="",K31=0)</xm:f>
            <x14:dxf>
              <fill>
                <patternFill>
                  <bgColor theme="7" tint="0.79998168889431442"/>
                </patternFill>
              </fill>
            </x14:dxf>
          </x14:cfRule>
          <xm:sqref>K31</xm:sqref>
        </x14:conditionalFormatting>
        <x14:conditionalFormatting xmlns:xm="http://schemas.microsoft.com/office/excel/2006/main">
          <x14:cfRule type="expression" priority="752" id="{4DCB0D21-B636-4F96-9273-792FE8C9A4C9}">
            <xm:f>VLOOKUP(K32,Calendars!$O$1:$U$398,MATCH($X$1,Calendars!$O$1:$U$1,0),FALSE)="Non Contract"</xm:f>
            <x14:dxf>
              <fill>
                <patternFill patternType="lightDown"/>
              </fill>
              <border>
                <bottom/>
              </border>
            </x14:dxf>
          </x14:cfRule>
          <x14:cfRule type="expression" priority="761" id="{657B3A20-2DCB-406D-A8ED-27F45DD0B041}">
            <xm:f>VLOOKUP(K32,Calendars!$O$1:$U$398,MATCH($X$1,Calendars!$O$1:$U$1,0),FALSE)="Holiday"</xm:f>
            <x14:dxf>
              <fill>
                <patternFill>
                  <bgColor rgb="FFFF99FF"/>
                </patternFill>
              </fill>
              <border>
                <bottom/>
              </border>
            </x14:dxf>
          </x14:cfRule>
          <xm:sqref>K31</xm:sqref>
        </x14:conditionalFormatting>
        <x14:conditionalFormatting xmlns:xm="http://schemas.microsoft.com/office/excel/2006/main">
          <x14:cfRule type="expression" priority="741" id="{4B7F2328-F70F-4076-BCC1-AB7F56EBEAD9}">
            <xm:f>AND(VLOOKUP(L32,Calendars!$O$1:$U$398,MATCH($X$1,Calendars!$O$1:$U$1,0),FALSE)="Non Contract",$C$5&gt;0)</xm:f>
            <x14:dxf>
              <fill>
                <patternFill patternType="solid">
                  <fgColor theme="4" tint="0.79998168889431442"/>
                  <bgColor theme="8" tint="0.79995117038483843"/>
                </patternFill>
              </fill>
            </x14:dxf>
          </x14:cfRule>
          <xm:sqref>L31:N31</xm:sqref>
        </x14:conditionalFormatting>
        <x14:conditionalFormatting xmlns:xm="http://schemas.microsoft.com/office/excel/2006/main">
          <x14:cfRule type="expression" priority="751" id="{07E6A24E-BE52-46B7-9217-30641119E109}">
            <xm:f>AND(VLOOKUP(L32,Calendars!$O$1:$U$398,MATCH($X$1,Calendars!$O$1:$U$1,0),FALSE)="",L31=0)</xm:f>
            <x14:dxf>
              <fill>
                <patternFill>
                  <bgColor theme="7" tint="0.79998168889431442"/>
                </patternFill>
              </fill>
            </x14:dxf>
          </x14:cfRule>
          <xm:sqref>L31:N31</xm:sqref>
        </x14:conditionalFormatting>
        <x14:conditionalFormatting xmlns:xm="http://schemas.microsoft.com/office/excel/2006/main">
          <x14:cfRule type="expression" priority="740" id="{7AFEB9C6-F315-4914-9F4D-F2E0708F1536}">
            <xm:f>VLOOKUP(L32,Calendars!$O$1:$U$398,MATCH($X$1,Calendars!$O$1:$U$1,0),FALSE)="Non Contract"</xm:f>
            <x14:dxf>
              <fill>
                <patternFill patternType="lightDown"/>
              </fill>
              <border>
                <bottom/>
              </border>
            </x14:dxf>
          </x14:cfRule>
          <x14:cfRule type="expression" priority="749" id="{1B8CC6F6-B82F-436F-963C-72EC9B0DE752}">
            <xm:f>VLOOKUP(L32,Calendars!$O$1:$U$398,MATCH($X$1,Calendars!$O$1:$U$1,0),FALSE)="Holiday"</xm:f>
            <x14:dxf>
              <fill>
                <patternFill>
                  <bgColor rgb="FFFF99FF"/>
                </patternFill>
              </fill>
              <border>
                <bottom/>
              </border>
            </x14:dxf>
          </x14:cfRule>
          <xm:sqref>L31:N31</xm:sqref>
        </x14:conditionalFormatting>
        <x14:conditionalFormatting xmlns:xm="http://schemas.microsoft.com/office/excel/2006/main">
          <x14:cfRule type="expression" priority="729" id="{E9692AEB-59AD-4074-97BE-0BF40EE2D6FC}">
            <xm:f>AND(VLOOKUP(J34,Calendars!$O$1:$U$398,MATCH($X$1,Calendars!$O$1:$U$1,0),FALSE)="Non Contract",$C$5&gt;0)</xm:f>
            <x14:dxf>
              <fill>
                <patternFill patternType="solid">
                  <fgColor theme="4" tint="0.79998168889431442"/>
                  <bgColor theme="8" tint="0.79995117038483843"/>
                </patternFill>
              </fill>
            </x14:dxf>
          </x14:cfRule>
          <xm:sqref>J33</xm:sqref>
        </x14:conditionalFormatting>
        <x14:conditionalFormatting xmlns:xm="http://schemas.microsoft.com/office/excel/2006/main">
          <x14:cfRule type="expression" priority="739" id="{790B36A0-A101-4679-821D-1BEF9804A2D1}">
            <xm:f>AND(VLOOKUP(J34,Calendars!$O$1:$U$398,MATCH($X$1,Calendars!$O$1:$U$1,0),FALSE)="",J33=0)</xm:f>
            <x14:dxf>
              <fill>
                <patternFill>
                  <bgColor theme="7" tint="0.79998168889431442"/>
                </patternFill>
              </fill>
            </x14:dxf>
          </x14:cfRule>
          <xm:sqref>J33</xm:sqref>
        </x14:conditionalFormatting>
        <x14:conditionalFormatting xmlns:xm="http://schemas.microsoft.com/office/excel/2006/main">
          <x14:cfRule type="expression" priority="728" id="{547A3D8D-ADD1-4CC6-A958-6FE11FBDD516}">
            <xm:f>VLOOKUP(J34,Calendars!$O$1:$U$398,MATCH($X$1,Calendars!$O$1:$U$1,0),FALSE)="Non Contract"</xm:f>
            <x14:dxf>
              <fill>
                <patternFill patternType="lightDown"/>
              </fill>
              <border>
                <bottom/>
              </border>
            </x14:dxf>
          </x14:cfRule>
          <x14:cfRule type="expression" priority="737" id="{24899C49-9236-4615-A21A-C71C5DD4511E}">
            <xm:f>VLOOKUP(J34,Calendars!$O$1:$U$398,MATCH($X$1,Calendars!$O$1:$U$1,0),FALSE)="Holiday"</xm:f>
            <x14:dxf>
              <fill>
                <patternFill>
                  <bgColor rgb="FFFF99FF"/>
                </patternFill>
              </fill>
              <border>
                <bottom/>
              </border>
            </x14:dxf>
          </x14:cfRule>
          <xm:sqref>J33</xm:sqref>
        </x14:conditionalFormatting>
        <x14:conditionalFormatting xmlns:xm="http://schemas.microsoft.com/office/excel/2006/main">
          <x14:cfRule type="expression" priority="717" id="{D0DCF448-CFD3-40EA-9A57-B88C079E563E}">
            <xm:f>AND(VLOOKUP(K34,Calendars!$O$1:$U$398,MATCH($X$1,Calendars!$O$1:$U$1,0),FALSE)="Non Contract",$C$5&gt;0)</xm:f>
            <x14:dxf>
              <fill>
                <patternFill patternType="solid">
                  <fgColor theme="4" tint="0.79998168889431442"/>
                  <bgColor theme="8" tint="0.79995117038483843"/>
                </patternFill>
              </fill>
            </x14:dxf>
          </x14:cfRule>
          <xm:sqref>K33</xm:sqref>
        </x14:conditionalFormatting>
        <x14:conditionalFormatting xmlns:xm="http://schemas.microsoft.com/office/excel/2006/main">
          <x14:cfRule type="expression" priority="727" id="{E74F02E1-3039-4AF6-B335-752F90A2AB57}">
            <xm:f>AND(VLOOKUP(K34,Calendars!$O$1:$U$398,MATCH($X$1,Calendars!$O$1:$U$1,0),FALSE)="",K33=0)</xm:f>
            <x14:dxf>
              <fill>
                <patternFill>
                  <bgColor theme="7" tint="0.79998168889431442"/>
                </patternFill>
              </fill>
            </x14:dxf>
          </x14:cfRule>
          <xm:sqref>K33</xm:sqref>
        </x14:conditionalFormatting>
        <x14:conditionalFormatting xmlns:xm="http://schemas.microsoft.com/office/excel/2006/main">
          <x14:cfRule type="expression" priority="716" id="{EC3AE696-8C4E-417A-809F-E2E164ACC6E4}">
            <xm:f>VLOOKUP(K34,Calendars!$O$1:$U$398,MATCH($X$1,Calendars!$O$1:$U$1,0),FALSE)="Non Contract"</xm:f>
            <x14:dxf>
              <fill>
                <patternFill patternType="lightDown"/>
              </fill>
              <border>
                <bottom/>
              </border>
            </x14:dxf>
          </x14:cfRule>
          <x14:cfRule type="expression" priority="725" id="{B16A3C7D-D28C-4E4B-AD51-F5C3B97E3CE6}">
            <xm:f>VLOOKUP(K34,Calendars!$O$1:$U$398,MATCH($X$1,Calendars!$O$1:$U$1,0),FALSE)="Holiday"</xm:f>
            <x14:dxf>
              <fill>
                <patternFill>
                  <bgColor rgb="FFFF99FF"/>
                </patternFill>
              </fill>
              <border>
                <bottom/>
              </border>
            </x14:dxf>
          </x14:cfRule>
          <xm:sqref>K33</xm:sqref>
        </x14:conditionalFormatting>
        <x14:conditionalFormatting xmlns:xm="http://schemas.microsoft.com/office/excel/2006/main">
          <x14:cfRule type="expression" priority="705" id="{770A225E-FAE3-45AA-AD4D-882C06B23A2B}">
            <xm:f>AND(VLOOKUP(L34,Calendars!$O$1:$U$398,MATCH($X$1,Calendars!$O$1:$U$1,0),FALSE)="Non Contract",$C$5&gt;0)</xm:f>
            <x14:dxf>
              <fill>
                <patternFill patternType="solid">
                  <fgColor theme="4" tint="0.79998168889431442"/>
                  <bgColor theme="8" tint="0.79995117038483843"/>
                </patternFill>
              </fill>
            </x14:dxf>
          </x14:cfRule>
          <xm:sqref>L33:N33</xm:sqref>
        </x14:conditionalFormatting>
        <x14:conditionalFormatting xmlns:xm="http://schemas.microsoft.com/office/excel/2006/main">
          <x14:cfRule type="expression" priority="715" id="{7B833749-3BA1-4FBD-8326-6242B0BC272A}">
            <xm:f>AND(VLOOKUP(L34,Calendars!$O$1:$U$398,MATCH($X$1,Calendars!$O$1:$U$1,0),FALSE)="",L33=0)</xm:f>
            <x14:dxf>
              <fill>
                <patternFill>
                  <bgColor theme="7" tint="0.79998168889431442"/>
                </patternFill>
              </fill>
            </x14:dxf>
          </x14:cfRule>
          <xm:sqref>L33:N33</xm:sqref>
        </x14:conditionalFormatting>
        <x14:conditionalFormatting xmlns:xm="http://schemas.microsoft.com/office/excel/2006/main">
          <x14:cfRule type="expression" priority="704" id="{626116BB-4A1E-4D62-8C29-143213164933}">
            <xm:f>VLOOKUP(L34,Calendars!$O$1:$U$398,MATCH($X$1,Calendars!$O$1:$U$1,0),FALSE)="Non Contract"</xm:f>
            <x14:dxf>
              <fill>
                <patternFill patternType="lightDown"/>
              </fill>
              <border>
                <bottom/>
              </border>
            </x14:dxf>
          </x14:cfRule>
          <x14:cfRule type="expression" priority="713" id="{782E5B63-150E-4132-8E86-34D54AF9C582}">
            <xm:f>VLOOKUP(L34,Calendars!$O$1:$U$398,MATCH($X$1,Calendars!$O$1:$U$1,0),FALSE)="Holiday"</xm:f>
            <x14:dxf>
              <fill>
                <patternFill>
                  <bgColor rgb="FFFF99FF"/>
                </patternFill>
              </fill>
              <border>
                <bottom/>
              </border>
            </x14:dxf>
          </x14:cfRule>
          <xm:sqref>L33:N33</xm:sqref>
        </x14:conditionalFormatting>
        <x14:conditionalFormatting xmlns:xm="http://schemas.microsoft.com/office/excel/2006/main">
          <x14:cfRule type="expression" priority="693" id="{68919594-50B3-4277-A357-A34C9C2E578E}">
            <xm:f>AND(VLOOKUP(J36,Calendars!$O$1:$U$398,MATCH($X$1,Calendars!$O$1:$U$1,0),FALSE)="Non Contract",$C$5&gt;0)</xm:f>
            <x14:dxf>
              <fill>
                <patternFill patternType="solid">
                  <fgColor theme="4" tint="0.79998168889431442"/>
                  <bgColor theme="8" tint="0.79995117038483843"/>
                </patternFill>
              </fill>
            </x14:dxf>
          </x14:cfRule>
          <xm:sqref>J35</xm:sqref>
        </x14:conditionalFormatting>
        <x14:conditionalFormatting xmlns:xm="http://schemas.microsoft.com/office/excel/2006/main">
          <x14:cfRule type="expression" priority="703" id="{6D8EC8B8-45B2-4F15-9EF1-76DC14798098}">
            <xm:f>AND(VLOOKUP(J36,Calendars!$O$1:$U$398,MATCH($X$1,Calendars!$O$1:$U$1,0),FALSE)="",J35=0)</xm:f>
            <x14:dxf>
              <fill>
                <patternFill>
                  <bgColor theme="7" tint="0.79998168889431442"/>
                </patternFill>
              </fill>
            </x14:dxf>
          </x14:cfRule>
          <xm:sqref>J35</xm:sqref>
        </x14:conditionalFormatting>
        <x14:conditionalFormatting xmlns:xm="http://schemas.microsoft.com/office/excel/2006/main">
          <x14:cfRule type="expression" priority="692" id="{02C0B9E4-A06B-44CE-B035-D734795B41FB}">
            <xm:f>VLOOKUP(J36,Calendars!$O$1:$U$398,MATCH($X$1,Calendars!$O$1:$U$1,0),FALSE)="Non Contract"</xm:f>
            <x14:dxf>
              <fill>
                <patternFill patternType="lightDown"/>
              </fill>
              <border>
                <bottom/>
              </border>
            </x14:dxf>
          </x14:cfRule>
          <x14:cfRule type="expression" priority="701" id="{1066D4B0-303A-4EE4-8B18-E69575465EF3}">
            <xm:f>VLOOKUP(J36,Calendars!$O$1:$U$398,MATCH($X$1,Calendars!$O$1:$U$1,0),FALSE)="Holiday"</xm:f>
            <x14:dxf>
              <fill>
                <patternFill>
                  <bgColor rgb="FFFF99FF"/>
                </patternFill>
              </fill>
              <border>
                <bottom/>
              </border>
            </x14:dxf>
          </x14:cfRule>
          <xm:sqref>J35</xm:sqref>
        </x14:conditionalFormatting>
        <x14:conditionalFormatting xmlns:xm="http://schemas.microsoft.com/office/excel/2006/main">
          <x14:cfRule type="expression" priority="681" id="{6BA38ABF-6B0B-4569-898D-BA148A443E14}">
            <xm:f>AND(VLOOKUP(K36,Calendars!$O$1:$U$398,MATCH($X$1,Calendars!$O$1:$U$1,0),FALSE)="Non Contract",$C$5&gt;0)</xm:f>
            <x14:dxf>
              <fill>
                <patternFill patternType="solid">
                  <fgColor theme="4" tint="0.79998168889431442"/>
                  <bgColor theme="8" tint="0.79995117038483843"/>
                </patternFill>
              </fill>
            </x14:dxf>
          </x14:cfRule>
          <xm:sqref>K35</xm:sqref>
        </x14:conditionalFormatting>
        <x14:conditionalFormatting xmlns:xm="http://schemas.microsoft.com/office/excel/2006/main">
          <x14:cfRule type="expression" priority="691" id="{86AD5DBD-1291-4A81-9872-51FC1F3F4DE6}">
            <xm:f>AND(VLOOKUP(K36,Calendars!$O$1:$U$398,MATCH($X$1,Calendars!$O$1:$U$1,0),FALSE)="",K35=0)</xm:f>
            <x14:dxf>
              <fill>
                <patternFill>
                  <bgColor theme="7" tint="0.79998168889431442"/>
                </patternFill>
              </fill>
            </x14:dxf>
          </x14:cfRule>
          <xm:sqref>K35</xm:sqref>
        </x14:conditionalFormatting>
        <x14:conditionalFormatting xmlns:xm="http://schemas.microsoft.com/office/excel/2006/main">
          <x14:cfRule type="expression" priority="680" id="{86639F6C-0302-454F-BBEC-E407DE705F46}">
            <xm:f>VLOOKUP(K36,Calendars!$O$1:$U$398,MATCH($X$1,Calendars!$O$1:$U$1,0),FALSE)="Non Contract"</xm:f>
            <x14:dxf>
              <fill>
                <patternFill patternType="lightDown"/>
              </fill>
              <border>
                <bottom/>
              </border>
            </x14:dxf>
          </x14:cfRule>
          <x14:cfRule type="expression" priority="689" id="{AF421A81-C559-4D3C-A1BA-A4C1DB16915E}">
            <xm:f>VLOOKUP(K36,Calendars!$O$1:$U$398,MATCH($X$1,Calendars!$O$1:$U$1,0),FALSE)="Holiday"</xm:f>
            <x14:dxf>
              <fill>
                <patternFill>
                  <bgColor rgb="FFFF99FF"/>
                </patternFill>
              </fill>
              <border>
                <bottom/>
              </border>
            </x14:dxf>
          </x14:cfRule>
          <xm:sqref>K35</xm:sqref>
        </x14:conditionalFormatting>
        <x14:conditionalFormatting xmlns:xm="http://schemas.microsoft.com/office/excel/2006/main">
          <x14:cfRule type="expression" priority="669" id="{DE775876-8091-470D-BE4A-835AA3FEB803}">
            <xm:f>AND(VLOOKUP(L36,Calendars!$O$1:$U$398,MATCH($X$1,Calendars!$O$1:$U$1,0),FALSE)="Non Contract",$C$5&gt;0)</xm:f>
            <x14:dxf>
              <fill>
                <patternFill patternType="solid">
                  <fgColor theme="4" tint="0.79998168889431442"/>
                  <bgColor theme="8" tint="0.79995117038483843"/>
                </patternFill>
              </fill>
            </x14:dxf>
          </x14:cfRule>
          <xm:sqref>L35:N35</xm:sqref>
        </x14:conditionalFormatting>
        <x14:conditionalFormatting xmlns:xm="http://schemas.microsoft.com/office/excel/2006/main">
          <x14:cfRule type="expression" priority="679" id="{97B272EB-1DF8-4DC6-876C-E381A5F13A95}">
            <xm:f>AND(VLOOKUP(L36,Calendars!$O$1:$U$398,MATCH($X$1,Calendars!$O$1:$U$1,0),FALSE)="",L35=0)</xm:f>
            <x14:dxf>
              <fill>
                <patternFill>
                  <bgColor theme="7" tint="0.79998168889431442"/>
                </patternFill>
              </fill>
            </x14:dxf>
          </x14:cfRule>
          <xm:sqref>L35:N35</xm:sqref>
        </x14:conditionalFormatting>
        <x14:conditionalFormatting xmlns:xm="http://schemas.microsoft.com/office/excel/2006/main">
          <x14:cfRule type="expression" priority="668" id="{1E105FD0-78C9-4514-9070-3E8C5C6EDE7F}">
            <xm:f>VLOOKUP(L36,Calendars!$O$1:$U$398,MATCH($X$1,Calendars!$O$1:$U$1,0),FALSE)="Non Contract"</xm:f>
            <x14:dxf>
              <fill>
                <patternFill patternType="lightDown"/>
              </fill>
              <border>
                <bottom/>
              </border>
            </x14:dxf>
          </x14:cfRule>
          <x14:cfRule type="expression" priority="677" id="{4AF2048D-042A-4CEE-A1A4-DC45BAC4E170}">
            <xm:f>VLOOKUP(L36,Calendars!$O$1:$U$398,MATCH($X$1,Calendars!$O$1:$U$1,0),FALSE)="Holiday"</xm:f>
            <x14:dxf>
              <fill>
                <patternFill>
                  <bgColor rgb="FFFF99FF"/>
                </patternFill>
              </fill>
              <border>
                <bottom/>
              </border>
            </x14:dxf>
          </x14:cfRule>
          <xm:sqref>L35:N35</xm:sqref>
        </x14:conditionalFormatting>
        <x14:conditionalFormatting xmlns:xm="http://schemas.microsoft.com/office/excel/2006/main">
          <x14:cfRule type="expression" priority="477" id="{5E943805-A668-4B74-859F-2A375FE173B9}">
            <xm:f>AND(VLOOKUP(X28,Calendars!$O$1:$U$398,MATCH($X$1,Calendars!$O$1:$U$1,0),FALSE)="Non Contract",$C$5&gt;0)</xm:f>
            <x14:dxf>
              <fill>
                <patternFill patternType="solid">
                  <fgColor theme="4" tint="0.79998168889431442"/>
                  <bgColor theme="8" tint="0.79995117038483843"/>
                </patternFill>
              </fill>
            </x14:dxf>
          </x14:cfRule>
          <xm:sqref>X27</xm:sqref>
        </x14:conditionalFormatting>
        <x14:conditionalFormatting xmlns:xm="http://schemas.microsoft.com/office/excel/2006/main">
          <x14:cfRule type="expression" priority="487" id="{243CCDC7-931C-461E-9EA1-E1EB018454A1}">
            <xm:f>AND(VLOOKUP(X28,Calendars!$O$1:$U$398,MATCH($X$1,Calendars!$O$1:$U$1,0),FALSE)="",X27=0)</xm:f>
            <x14:dxf>
              <fill>
                <patternFill>
                  <bgColor theme="7" tint="0.79998168889431442"/>
                </patternFill>
              </fill>
            </x14:dxf>
          </x14:cfRule>
          <xm:sqref>X27</xm:sqref>
        </x14:conditionalFormatting>
        <x14:conditionalFormatting xmlns:xm="http://schemas.microsoft.com/office/excel/2006/main">
          <x14:cfRule type="expression" priority="476" id="{C817388A-025D-4EE7-BEDC-13418F6F8905}">
            <xm:f>VLOOKUP(X28,Calendars!$O$1:$U$398,MATCH($X$1,Calendars!$O$1:$U$1,0),FALSE)="Non Contract"</xm:f>
            <x14:dxf>
              <fill>
                <patternFill patternType="lightDown"/>
              </fill>
              <border>
                <bottom/>
              </border>
            </x14:dxf>
          </x14:cfRule>
          <x14:cfRule type="expression" priority="485" id="{0BC45F5A-7C68-40B2-88BB-3072AF0BFADB}">
            <xm:f>VLOOKUP(X28,Calendars!$O$1:$U$398,MATCH($X$1,Calendars!$O$1:$U$1,0),FALSE)="Holiday"</xm:f>
            <x14:dxf>
              <fill>
                <patternFill>
                  <bgColor rgb="FFFF99FF"/>
                </patternFill>
              </fill>
              <border>
                <bottom/>
              </border>
            </x14:dxf>
          </x14:cfRule>
          <xm:sqref>X27</xm:sqref>
        </x14:conditionalFormatting>
        <x14:conditionalFormatting xmlns:xm="http://schemas.microsoft.com/office/excel/2006/main">
          <x14:cfRule type="expression" priority="465" id="{C2447D8F-4F8B-41BD-87D5-70DE287B69A9}">
            <xm:f>AND(VLOOKUP(Y28,Calendars!$O$1:$U$398,MATCH($X$1,Calendars!$O$1:$U$1,0),FALSE)="Non Contract",$C$5&gt;0)</xm:f>
            <x14:dxf>
              <fill>
                <patternFill patternType="solid">
                  <fgColor theme="4" tint="0.79998168889431442"/>
                  <bgColor theme="8" tint="0.79995117038483843"/>
                </patternFill>
              </fill>
            </x14:dxf>
          </x14:cfRule>
          <xm:sqref>Y27</xm:sqref>
        </x14:conditionalFormatting>
        <x14:conditionalFormatting xmlns:xm="http://schemas.microsoft.com/office/excel/2006/main">
          <x14:cfRule type="expression" priority="475" id="{49B661BC-DBDF-489B-A033-DD59A23034CE}">
            <xm:f>AND(VLOOKUP(Y28,Calendars!$O$1:$U$398,MATCH($X$1,Calendars!$O$1:$U$1,0),FALSE)="",Y27=0)</xm:f>
            <x14:dxf>
              <fill>
                <patternFill>
                  <bgColor theme="7" tint="0.79998168889431442"/>
                </patternFill>
              </fill>
            </x14:dxf>
          </x14:cfRule>
          <xm:sqref>Y27</xm:sqref>
        </x14:conditionalFormatting>
        <x14:conditionalFormatting xmlns:xm="http://schemas.microsoft.com/office/excel/2006/main">
          <x14:cfRule type="expression" priority="464" id="{95E3E6CF-F812-46D7-BB9A-748211BA5853}">
            <xm:f>VLOOKUP(Y28,Calendars!$O$1:$U$398,MATCH($X$1,Calendars!$O$1:$U$1,0),FALSE)="Non Contract"</xm:f>
            <x14:dxf>
              <fill>
                <patternFill patternType="lightDown"/>
              </fill>
              <border>
                <bottom/>
              </border>
            </x14:dxf>
          </x14:cfRule>
          <x14:cfRule type="expression" priority="473" id="{E4128399-A803-41E7-83C7-83FF229ECEA7}">
            <xm:f>VLOOKUP(Y28,Calendars!$O$1:$U$398,MATCH($X$1,Calendars!$O$1:$U$1,0),FALSE)="Holiday"</xm:f>
            <x14:dxf>
              <fill>
                <patternFill>
                  <bgColor rgb="FFFF99FF"/>
                </patternFill>
              </fill>
              <border>
                <bottom/>
              </border>
            </x14:dxf>
          </x14:cfRule>
          <xm:sqref>Y27</xm:sqref>
        </x14:conditionalFormatting>
        <x14:conditionalFormatting xmlns:xm="http://schemas.microsoft.com/office/excel/2006/main">
          <x14:cfRule type="expression" priority="453" id="{E156727C-59E7-4E29-8E2C-6065BFD6523B}">
            <xm:f>AND(VLOOKUP(Z28,Calendars!$O$1:$U$398,MATCH($X$1,Calendars!$O$1:$U$1,0),FALSE)="Non Contract",$C$5&gt;0)</xm:f>
            <x14:dxf>
              <fill>
                <patternFill patternType="solid">
                  <fgColor theme="4" tint="0.79998168889431442"/>
                  <bgColor theme="8" tint="0.79995117038483843"/>
                </patternFill>
              </fill>
            </x14:dxf>
          </x14:cfRule>
          <xm:sqref>Z27:AB27</xm:sqref>
        </x14:conditionalFormatting>
        <x14:conditionalFormatting xmlns:xm="http://schemas.microsoft.com/office/excel/2006/main">
          <x14:cfRule type="expression" priority="463" id="{3F80B197-285B-4560-A1BD-FD111E6F9A9C}">
            <xm:f>AND(VLOOKUP(Z28,Calendars!$O$1:$U$398,MATCH($X$1,Calendars!$O$1:$U$1,0),FALSE)="",Z27=0)</xm:f>
            <x14:dxf>
              <fill>
                <patternFill>
                  <bgColor theme="7" tint="0.79998168889431442"/>
                </patternFill>
              </fill>
            </x14:dxf>
          </x14:cfRule>
          <xm:sqref>Z27:AB27</xm:sqref>
        </x14:conditionalFormatting>
        <x14:conditionalFormatting xmlns:xm="http://schemas.microsoft.com/office/excel/2006/main">
          <x14:cfRule type="expression" priority="452" id="{FA1EE828-6E10-411A-81B1-0312B050EE51}">
            <xm:f>VLOOKUP(Z28,Calendars!$O$1:$U$398,MATCH($X$1,Calendars!$O$1:$U$1,0),FALSE)="Non Contract"</xm:f>
            <x14:dxf>
              <fill>
                <patternFill patternType="lightDown"/>
              </fill>
              <border>
                <bottom/>
              </border>
            </x14:dxf>
          </x14:cfRule>
          <x14:cfRule type="expression" priority="461" id="{3F821B7F-965F-40C4-8FF9-3230766B3ABC}">
            <xm:f>VLOOKUP(Z28,Calendars!$O$1:$U$398,MATCH($X$1,Calendars!$O$1:$U$1,0),FALSE)="Holiday"</xm:f>
            <x14:dxf>
              <fill>
                <patternFill>
                  <bgColor rgb="FFFF99FF"/>
                </patternFill>
              </fill>
              <border>
                <bottom/>
              </border>
            </x14:dxf>
          </x14:cfRule>
          <xm:sqref>Z27:AB27</xm:sqref>
        </x14:conditionalFormatting>
        <x14:conditionalFormatting xmlns:xm="http://schemas.microsoft.com/office/excel/2006/main">
          <x14:cfRule type="expression" priority="441" id="{F1C766BC-7662-4908-936F-3E35CAD9A102}">
            <xm:f>AND(VLOOKUP(X30,Calendars!$O$1:$U$398,MATCH($X$1,Calendars!$O$1:$U$1,0),FALSE)="Non Contract",$C$5&gt;0)</xm:f>
            <x14:dxf>
              <fill>
                <patternFill patternType="solid">
                  <fgColor theme="4" tint="0.79998168889431442"/>
                  <bgColor theme="8" tint="0.79995117038483843"/>
                </patternFill>
              </fill>
            </x14:dxf>
          </x14:cfRule>
          <xm:sqref>X29</xm:sqref>
        </x14:conditionalFormatting>
        <x14:conditionalFormatting xmlns:xm="http://schemas.microsoft.com/office/excel/2006/main">
          <x14:cfRule type="expression" priority="451" id="{82BDC6F3-2170-4E0C-8CF1-2FE6AC3B5D8F}">
            <xm:f>AND(VLOOKUP(X30,Calendars!$O$1:$U$398,MATCH($X$1,Calendars!$O$1:$U$1,0),FALSE)="",X29=0)</xm:f>
            <x14:dxf>
              <fill>
                <patternFill>
                  <bgColor theme="7" tint="0.79998168889431442"/>
                </patternFill>
              </fill>
            </x14:dxf>
          </x14:cfRule>
          <xm:sqref>X29</xm:sqref>
        </x14:conditionalFormatting>
        <x14:conditionalFormatting xmlns:xm="http://schemas.microsoft.com/office/excel/2006/main">
          <x14:cfRule type="expression" priority="440" id="{C5B102B0-73E3-48C1-A1B1-1D3E955A483B}">
            <xm:f>VLOOKUP(X30,Calendars!$O$1:$U$398,MATCH($X$1,Calendars!$O$1:$U$1,0),FALSE)="Non Contract"</xm:f>
            <x14:dxf>
              <fill>
                <patternFill patternType="lightDown"/>
              </fill>
              <border>
                <bottom/>
              </border>
            </x14:dxf>
          </x14:cfRule>
          <x14:cfRule type="expression" priority="449" id="{A29F2F2A-F0F7-4CD6-BB4D-B6E0403EA253}">
            <xm:f>VLOOKUP(X30,Calendars!$O$1:$U$398,MATCH($X$1,Calendars!$O$1:$U$1,0),FALSE)="Holiday"</xm:f>
            <x14:dxf>
              <fill>
                <patternFill>
                  <bgColor rgb="FFFF99FF"/>
                </patternFill>
              </fill>
              <border>
                <bottom/>
              </border>
            </x14:dxf>
          </x14:cfRule>
          <xm:sqref>X29</xm:sqref>
        </x14:conditionalFormatting>
        <x14:conditionalFormatting xmlns:xm="http://schemas.microsoft.com/office/excel/2006/main">
          <x14:cfRule type="expression" priority="429" id="{65E0B4D2-DEC1-4804-87F3-392EEF00F2E6}">
            <xm:f>AND(VLOOKUP(Y30,Calendars!$O$1:$U$398,MATCH($X$1,Calendars!$O$1:$U$1,0),FALSE)="Non Contract",$C$5&gt;0)</xm:f>
            <x14:dxf>
              <fill>
                <patternFill patternType="solid">
                  <fgColor theme="4" tint="0.79998168889431442"/>
                  <bgColor theme="8" tint="0.79995117038483843"/>
                </patternFill>
              </fill>
            </x14:dxf>
          </x14:cfRule>
          <xm:sqref>Y29</xm:sqref>
        </x14:conditionalFormatting>
        <x14:conditionalFormatting xmlns:xm="http://schemas.microsoft.com/office/excel/2006/main">
          <x14:cfRule type="expression" priority="439" id="{2558AB92-21DD-4F77-A1F0-BA38D0E9E995}">
            <xm:f>AND(VLOOKUP(Y30,Calendars!$O$1:$U$398,MATCH($X$1,Calendars!$O$1:$U$1,0),FALSE)="",Y29=0)</xm:f>
            <x14:dxf>
              <fill>
                <patternFill>
                  <bgColor theme="7" tint="0.79998168889431442"/>
                </patternFill>
              </fill>
            </x14:dxf>
          </x14:cfRule>
          <xm:sqref>Y29</xm:sqref>
        </x14:conditionalFormatting>
        <x14:conditionalFormatting xmlns:xm="http://schemas.microsoft.com/office/excel/2006/main">
          <x14:cfRule type="expression" priority="428" id="{A0D18BEA-1198-413D-8CF1-254DBCA2BFCE}">
            <xm:f>VLOOKUP(Y30,Calendars!$O$1:$U$398,MATCH($X$1,Calendars!$O$1:$U$1,0),FALSE)="Non Contract"</xm:f>
            <x14:dxf>
              <fill>
                <patternFill patternType="lightDown"/>
              </fill>
              <border>
                <bottom/>
              </border>
            </x14:dxf>
          </x14:cfRule>
          <x14:cfRule type="expression" priority="437" id="{3B7BB4C6-6919-465E-AD67-C55C34B44E75}">
            <xm:f>VLOOKUP(Y30,Calendars!$O$1:$U$398,MATCH($X$1,Calendars!$O$1:$U$1,0),FALSE)="Holiday"</xm:f>
            <x14:dxf>
              <fill>
                <patternFill>
                  <bgColor rgb="FFFF99FF"/>
                </patternFill>
              </fill>
              <border>
                <bottom/>
              </border>
            </x14:dxf>
          </x14:cfRule>
          <xm:sqref>Y29</xm:sqref>
        </x14:conditionalFormatting>
        <x14:conditionalFormatting xmlns:xm="http://schemas.microsoft.com/office/excel/2006/main">
          <x14:cfRule type="expression" priority="417" id="{5DFF9268-5B23-4497-8F82-1D626FD8D888}">
            <xm:f>AND(VLOOKUP(Z30,Calendars!$O$1:$U$398,MATCH($X$1,Calendars!$O$1:$U$1,0),FALSE)="Non Contract",$C$5&gt;0)</xm:f>
            <x14:dxf>
              <fill>
                <patternFill patternType="solid">
                  <fgColor theme="4" tint="0.79998168889431442"/>
                  <bgColor theme="8" tint="0.79995117038483843"/>
                </patternFill>
              </fill>
            </x14:dxf>
          </x14:cfRule>
          <xm:sqref>Z29:AB29</xm:sqref>
        </x14:conditionalFormatting>
        <x14:conditionalFormatting xmlns:xm="http://schemas.microsoft.com/office/excel/2006/main">
          <x14:cfRule type="expression" priority="427" id="{818B5001-7478-41C5-82A9-B957994467FA}">
            <xm:f>AND(VLOOKUP(Z30,Calendars!$O$1:$U$398,MATCH($X$1,Calendars!$O$1:$U$1,0),FALSE)="",Z29=0)</xm:f>
            <x14:dxf>
              <fill>
                <patternFill>
                  <bgColor theme="7" tint="0.79998168889431442"/>
                </patternFill>
              </fill>
            </x14:dxf>
          </x14:cfRule>
          <xm:sqref>Z29:AB29</xm:sqref>
        </x14:conditionalFormatting>
        <x14:conditionalFormatting xmlns:xm="http://schemas.microsoft.com/office/excel/2006/main">
          <x14:cfRule type="expression" priority="416" id="{7B65358A-5F1E-4BC4-9969-BC8A61D4CD32}">
            <xm:f>VLOOKUP(Z30,Calendars!$O$1:$U$398,MATCH($X$1,Calendars!$O$1:$U$1,0),FALSE)="Non Contract"</xm:f>
            <x14:dxf>
              <fill>
                <patternFill patternType="lightDown"/>
              </fill>
              <border>
                <bottom/>
              </border>
            </x14:dxf>
          </x14:cfRule>
          <x14:cfRule type="expression" priority="425" id="{1AED4203-A971-4588-820A-A9BE03CA76EE}">
            <xm:f>VLOOKUP(Z30,Calendars!$O$1:$U$398,MATCH($X$1,Calendars!$O$1:$U$1,0),FALSE)="Holiday"</xm:f>
            <x14:dxf>
              <fill>
                <patternFill>
                  <bgColor rgb="FFFF99FF"/>
                </patternFill>
              </fill>
              <border>
                <bottom/>
              </border>
            </x14:dxf>
          </x14:cfRule>
          <xm:sqref>Z29:AB29</xm:sqref>
        </x14:conditionalFormatting>
        <x14:conditionalFormatting xmlns:xm="http://schemas.microsoft.com/office/excel/2006/main">
          <x14:cfRule type="expression" priority="405" id="{5DF61C87-1FCA-4A6D-9014-0DB826F5476F}">
            <xm:f>AND(VLOOKUP(X32,Calendars!$O$1:$U$398,MATCH($X$1,Calendars!$O$1:$U$1,0),FALSE)="Non Contract",$C$5&gt;0)</xm:f>
            <x14:dxf>
              <fill>
                <patternFill patternType="solid">
                  <fgColor theme="4" tint="0.79998168889431442"/>
                  <bgColor theme="8" tint="0.79995117038483843"/>
                </patternFill>
              </fill>
            </x14:dxf>
          </x14:cfRule>
          <xm:sqref>X31</xm:sqref>
        </x14:conditionalFormatting>
        <x14:conditionalFormatting xmlns:xm="http://schemas.microsoft.com/office/excel/2006/main">
          <x14:cfRule type="expression" priority="415" id="{D8B140CA-E536-413E-A985-1D50BC12D78F}">
            <xm:f>AND(VLOOKUP(X32,Calendars!$O$1:$U$398,MATCH($X$1,Calendars!$O$1:$U$1,0),FALSE)="",X31=0)</xm:f>
            <x14:dxf>
              <fill>
                <patternFill>
                  <bgColor theme="7" tint="0.79998168889431442"/>
                </patternFill>
              </fill>
            </x14:dxf>
          </x14:cfRule>
          <xm:sqref>X31</xm:sqref>
        </x14:conditionalFormatting>
        <x14:conditionalFormatting xmlns:xm="http://schemas.microsoft.com/office/excel/2006/main">
          <x14:cfRule type="expression" priority="404" id="{62F8CF34-45DF-42F8-BBD0-3A7099BE1B74}">
            <xm:f>VLOOKUP(X32,Calendars!$O$1:$U$398,MATCH($X$1,Calendars!$O$1:$U$1,0),FALSE)="Non Contract"</xm:f>
            <x14:dxf>
              <fill>
                <patternFill patternType="lightDown"/>
              </fill>
              <border>
                <bottom/>
              </border>
            </x14:dxf>
          </x14:cfRule>
          <x14:cfRule type="expression" priority="413" id="{B41F40FE-8AD0-462B-B269-CF6F567D6DF2}">
            <xm:f>VLOOKUP(X32,Calendars!$O$1:$U$398,MATCH($X$1,Calendars!$O$1:$U$1,0),FALSE)="Holiday"</xm:f>
            <x14:dxf>
              <fill>
                <patternFill>
                  <bgColor rgb="FFFF99FF"/>
                </patternFill>
              </fill>
              <border>
                <bottom/>
              </border>
            </x14:dxf>
          </x14:cfRule>
          <xm:sqref>X31</xm:sqref>
        </x14:conditionalFormatting>
        <x14:conditionalFormatting xmlns:xm="http://schemas.microsoft.com/office/excel/2006/main">
          <x14:cfRule type="expression" priority="393" id="{842274BD-4B5B-4208-A592-500452C9B9DC}">
            <xm:f>AND(VLOOKUP(Y32,Calendars!$O$1:$U$398,MATCH($X$1,Calendars!$O$1:$U$1,0),FALSE)="Non Contract",$C$5&gt;0)</xm:f>
            <x14:dxf>
              <fill>
                <patternFill patternType="solid">
                  <fgColor theme="4" tint="0.79998168889431442"/>
                  <bgColor theme="8" tint="0.79995117038483843"/>
                </patternFill>
              </fill>
            </x14:dxf>
          </x14:cfRule>
          <xm:sqref>Y31</xm:sqref>
        </x14:conditionalFormatting>
        <x14:conditionalFormatting xmlns:xm="http://schemas.microsoft.com/office/excel/2006/main">
          <x14:cfRule type="expression" priority="403" id="{9CA1B2CD-8216-4B64-B32D-27AF2567DE4A}">
            <xm:f>AND(VLOOKUP(Y32,Calendars!$O$1:$U$398,MATCH($X$1,Calendars!$O$1:$U$1,0),FALSE)="",Y31=0)</xm:f>
            <x14:dxf>
              <fill>
                <patternFill>
                  <bgColor theme="7" tint="0.79998168889431442"/>
                </patternFill>
              </fill>
            </x14:dxf>
          </x14:cfRule>
          <xm:sqref>Y31</xm:sqref>
        </x14:conditionalFormatting>
        <x14:conditionalFormatting xmlns:xm="http://schemas.microsoft.com/office/excel/2006/main">
          <x14:cfRule type="expression" priority="392" id="{C1DB3D09-8689-4FBE-91A0-2865BBC2578A}">
            <xm:f>VLOOKUP(Y32,Calendars!$O$1:$U$398,MATCH($X$1,Calendars!$O$1:$U$1,0),FALSE)="Non Contract"</xm:f>
            <x14:dxf>
              <fill>
                <patternFill patternType="lightDown"/>
              </fill>
              <border>
                <bottom/>
              </border>
            </x14:dxf>
          </x14:cfRule>
          <x14:cfRule type="expression" priority="401" id="{22C72138-03F2-492B-8A29-DBFD07F8DE47}">
            <xm:f>VLOOKUP(Y32,Calendars!$O$1:$U$398,MATCH($X$1,Calendars!$O$1:$U$1,0),FALSE)="Holiday"</xm:f>
            <x14:dxf>
              <fill>
                <patternFill>
                  <bgColor rgb="FFFF99FF"/>
                </patternFill>
              </fill>
              <border>
                <bottom/>
              </border>
            </x14:dxf>
          </x14:cfRule>
          <xm:sqref>Y31</xm:sqref>
        </x14:conditionalFormatting>
        <x14:conditionalFormatting xmlns:xm="http://schemas.microsoft.com/office/excel/2006/main">
          <x14:cfRule type="expression" priority="381" id="{4ABCEF05-5996-4ACF-B80C-269A06990C5D}">
            <xm:f>AND(VLOOKUP(Z32,Calendars!$O$1:$U$398,MATCH($X$1,Calendars!$O$1:$U$1,0),FALSE)="Non Contract",$C$5&gt;0)</xm:f>
            <x14:dxf>
              <fill>
                <patternFill patternType="solid">
                  <fgColor theme="4" tint="0.79998168889431442"/>
                  <bgColor theme="8" tint="0.79995117038483843"/>
                </patternFill>
              </fill>
            </x14:dxf>
          </x14:cfRule>
          <xm:sqref>Z31:AB31</xm:sqref>
        </x14:conditionalFormatting>
        <x14:conditionalFormatting xmlns:xm="http://schemas.microsoft.com/office/excel/2006/main">
          <x14:cfRule type="expression" priority="391" id="{71926E0D-98C2-4045-BDEF-5DCED21F8CDF}">
            <xm:f>AND(VLOOKUP(Z32,Calendars!$O$1:$U$398,MATCH($X$1,Calendars!$O$1:$U$1,0),FALSE)="",Z31=0)</xm:f>
            <x14:dxf>
              <fill>
                <patternFill>
                  <bgColor theme="7" tint="0.79998168889431442"/>
                </patternFill>
              </fill>
            </x14:dxf>
          </x14:cfRule>
          <xm:sqref>Z31:AB31</xm:sqref>
        </x14:conditionalFormatting>
        <x14:conditionalFormatting xmlns:xm="http://schemas.microsoft.com/office/excel/2006/main">
          <x14:cfRule type="expression" priority="380" id="{B72DF388-2D72-4796-BD72-2DCF1A69FD64}">
            <xm:f>VLOOKUP(Z32,Calendars!$O$1:$U$398,MATCH($X$1,Calendars!$O$1:$U$1,0),FALSE)="Non Contract"</xm:f>
            <x14:dxf>
              <fill>
                <patternFill patternType="lightDown"/>
              </fill>
              <border>
                <bottom/>
              </border>
            </x14:dxf>
          </x14:cfRule>
          <x14:cfRule type="expression" priority="389" id="{C4E015E1-6BB7-4A4C-ADF7-B50FC0F1939D}">
            <xm:f>VLOOKUP(Z32,Calendars!$O$1:$U$398,MATCH($X$1,Calendars!$O$1:$U$1,0),FALSE)="Holiday"</xm:f>
            <x14:dxf>
              <fill>
                <patternFill>
                  <bgColor rgb="FFFF99FF"/>
                </patternFill>
              </fill>
              <border>
                <bottom/>
              </border>
            </x14:dxf>
          </x14:cfRule>
          <xm:sqref>Z31:AB31</xm:sqref>
        </x14:conditionalFormatting>
        <x14:conditionalFormatting xmlns:xm="http://schemas.microsoft.com/office/excel/2006/main">
          <x14:cfRule type="expression" priority="369" id="{2067F36B-EBE4-4DE4-8B54-37BD19CFF0E5}">
            <xm:f>AND(VLOOKUP(X34,Calendars!$O$1:$U$398,MATCH($X$1,Calendars!$O$1:$U$1,0),FALSE)="Non Contract",$C$5&gt;0)</xm:f>
            <x14:dxf>
              <fill>
                <patternFill patternType="solid">
                  <fgColor theme="4" tint="0.79998168889431442"/>
                  <bgColor theme="8" tint="0.79995117038483843"/>
                </patternFill>
              </fill>
            </x14:dxf>
          </x14:cfRule>
          <xm:sqref>X33</xm:sqref>
        </x14:conditionalFormatting>
        <x14:conditionalFormatting xmlns:xm="http://schemas.microsoft.com/office/excel/2006/main">
          <x14:cfRule type="expression" priority="379" id="{8216F93E-B425-4E8A-A0E8-AC5C27FFC278}">
            <xm:f>AND(VLOOKUP(X34,Calendars!$O$1:$U$398,MATCH($X$1,Calendars!$O$1:$U$1,0),FALSE)="",X33=0)</xm:f>
            <x14:dxf>
              <fill>
                <patternFill>
                  <bgColor theme="7" tint="0.79998168889431442"/>
                </patternFill>
              </fill>
            </x14:dxf>
          </x14:cfRule>
          <xm:sqref>X33</xm:sqref>
        </x14:conditionalFormatting>
        <x14:conditionalFormatting xmlns:xm="http://schemas.microsoft.com/office/excel/2006/main">
          <x14:cfRule type="expression" priority="368" id="{63CA9E2D-A613-4DCD-AD65-63DBAB672CE7}">
            <xm:f>VLOOKUP(X34,Calendars!$O$1:$U$398,MATCH($X$1,Calendars!$O$1:$U$1,0),FALSE)="Non Contract"</xm:f>
            <x14:dxf>
              <fill>
                <patternFill patternType="lightDown"/>
              </fill>
              <border>
                <bottom/>
              </border>
            </x14:dxf>
          </x14:cfRule>
          <x14:cfRule type="expression" priority="377" id="{5F79E79B-A4E3-442B-ABEF-5FFC9EB3788C}">
            <xm:f>VLOOKUP(X34,Calendars!$O$1:$U$398,MATCH($X$1,Calendars!$O$1:$U$1,0),FALSE)="Holiday"</xm:f>
            <x14:dxf>
              <fill>
                <patternFill>
                  <bgColor rgb="FFFF99FF"/>
                </patternFill>
              </fill>
              <border>
                <bottom/>
              </border>
            </x14:dxf>
          </x14:cfRule>
          <xm:sqref>X33</xm:sqref>
        </x14:conditionalFormatting>
        <x14:conditionalFormatting xmlns:xm="http://schemas.microsoft.com/office/excel/2006/main">
          <x14:cfRule type="expression" priority="357" id="{25C0FE6E-2319-4E09-B4BC-5B9BF42460EF}">
            <xm:f>AND(VLOOKUP(Y34,Calendars!$O$1:$U$398,MATCH($X$1,Calendars!$O$1:$U$1,0),FALSE)="Non Contract",$C$5&gt;0)</xm:f>
            <x14:dxf>
              <fill>
                <patternFill patternType="solid">
                  <fgColor theme="4" tint="0.79998168889431442"/>
                  <bgColor theme="8" tint="0.79995117038483843"/>
                </patternFill>
              </fill>
            </x14:dxf>
          </x14:cfRule>
          <xm:sqref>Y33</xm:sqref>
        </x14:conditionalFormatting>
        <x14:conditionalFormatting xmlns:xm="http://schemas.microsoft.com/office/excel/2006/main">
          <x14:cfRule type="expression" priority="367" id="{690C1E89-8CE3-407E-881E-143E3FD3A8BD}">
            <xm:f>AND(VLOOKUP(Y34,Calendars!$O$1:$U$398,MATCH($X$1,Calendars!$O$1:$U$1,0),FALSE)="",Y33=0)</xm:f>
            <x14:dxf>
              <fill>
                <patternFill>
                  <bgColor theme="7" tint="0.79998168889431442"/>
                </patternFill>
              </fill>
            </x14:dxf>
          </x14:cfRule>
          <xm:sqref>Y33</xm:sqref>
        </x14:conditionalFormatting>
        <x14:conditionalFormatting xmlns:xm="http://schemas.microsoft.com/office/excel/2006/main">
          <x14:cfRule type="expression" priority="356" id="{521B7DE6-6792-4B2B-8088-CB7CB061AF1B}">
            <xm:f>VLOOKUP(Y34,Calendars!$O$1:$U$398,MATCH($X$1,Calendars!$O$1:$U$1,0),FALSE)="Non Contract"</xm:f>
            <x14:dxf>
              <fill>
                <patternFill patternType="lightDown"/>
              </fill>
              <border>
                <bottom/>
              </border>
            </x14:dxf>
          </x14:cfRule>
          <x14:cfRule type="expression" priority="365" id="{32F16D98-FD13-488C-BA3C-520CB4683D3B}">
            <xm:f>VLOOKUP(Y34,Calendars!$O$1:$U$398,MATCH($X$1,Calendars!$O$1:$U$1,0),FALSE)="Holiday"</xm:f>
            <x14:dxf>
              <fill>
                <patternFill>
                  <bgColor rgb="FFFF99FF"/>
                </patternFill>
              </fill>
              <border>
                <bottom/>
              </border>
            </x14:dxf>
          </x14:cfRule>
          <xm:sqref>Y33</xm:sqref>
        </x14:conditionalFormatting>
        <x14:conditionalFormatting xmlns:xm="http://schemas.microsoft.com/office/excel/2006/main">
          <x14:cfRule type="expression" priority="345" id="{A5A04C15-B5B7-46CD-BBCA-36402FE4834F}">
            <xm:f>AND(VLOOKUP(Z34,Calendars!$O$1:$U$398,MATCH($X$1,Calendars!$O$1:$U$1,0),FALSE)="Non Contract",$C$5&gt;0)</xm:f>
            <x14:dxf>
              <fill>
                <patternFill patternType="solid">
                  <fgColor theme="4" tint="0.79998168889431442"/>
                  <bgColor theme="8" tint="0.79995117038483843"/>
                </patternFill>
              </fill>
            </x14:dxf>
          </x14:cfRule>
          <xm:sqref>Z33:AB33</xm:sqref>
        </x14:conditionalFormatting>
        <x14:conditionalFormatting xmlns:xm="http://schemas.microsoft.com/office/excel/2006/main">
          <x14:cfRule type="expression" priority="355" id="{ADCDA588-E6C9-4F78-BEC7-C0088741A2B0}">
            <xm:f>AND(VLOOKUP(Z34,Calendars!$O$1:$U$398,MATCH($X$1,Calendars!$O$1:$U$1,0),FALSE)="",Z33=0)</xm:f>
            <x14:dxf>
              <fill>
                <patternFill>
                  <bgColor theme="7" tint="0.79998168889431442"/>
                </patternFill>
              </fill>
            </x14:dxf>
          </x14:cfRule>
          <xm:sqref>Z33:AB33</xm:sqref>
        </x14:conditionalFormatting>
        <x14:conditionalFormatting xmlns:xm="http://schemas.microsoft.com/office/excel/2006/main">
          <x14:cfRule type="expression" priority="344" id="{3CA67A23-E550-4971-B8D1-7470BDFF35D9}">
            <xm:f>VLOOKUP(Z34,Calendars!$O$1:$U$398,MATCH($X$1,Calendars!$O$1:$U$1,0),FALSE)="Non Contract"</xm:f>
            <x14:dxf>
              <fill>
                <patternFill patternType="lightDown"/>
              </fill>
              <border>
                <bottom/>
              </border>
            </x14:dxf>
          </x14:cfRule>
          <x14:cfRule type="expression" priority="353" id="{6E9B9108-DF2B-4092-A4EF-24E6CBDB4A5C}">
            <xm:f>VLOOKUP(Z34,Calendars!$O$1:$U$398,MATCH($X$1,Calendars!$O$1:$U$1,0),FALSE)="Holiday"</xm:f>
            <x14:dxf>
              <fill>
                <patternFill>
                  <bgColor rgb="FFFF99FF"/>
                </patternFill>
              </fill>
              <border>
                <bottom/>
              </border>
            </x14:dxf>
          </x14:cfRule>
          <xm:sqref>Z33:AB33</xm:sqref>
        </x14:conditionalFormatting>
        <x14:conditionalFormatting xmlns:xm="http://schemas.microsoft.com/office/excel/2006/main">
          <x14:cfRule type="expression" priority="333" id="{76B49E52-5D9E-45EC-9B8D-E45737786E71}">
            <xm:f>AND(VLOOKUP(X36,Calendars!$O$1:$U$398,MATCH($X$1,Calendars!$O$1:$U$1,0),FALSE)="Non Contract",$C$5&gt;0)</xm:f>
            <x14:dxf>
              <fill>
                <patternFill patternType="solid">
                  <fgColor theme="4" tint="0.79998168889431442"/>
                  <bgColor theme="8" tint="0.79995117038483843"/>
                </patternFill>
              </fill>
            </x14:dxf>
          </x14:cfRule>
          <xm:sqref>X35</xm:sqref>
        </x14:conditionalFormatting>
        <x14:conditionalFormatting xmlns:xm="http://schemas.microsoft.com/office/excel/2006/main">
          <x14:cfRule type="expression" priority="343" id="{359A0BFC-6D34-47AD-92A0-9ED428A05B71}">
            <xm:f>AND(VLOOKUP(X36,Calendars!$O$1:$U$398,MATCH($X$1,Calendars!$O$1:$U$1,0),FALSE)="",X35=0)</xm:f>
            <x14:dxf>
              <fill>
                <patternFill>
                  <bgColor theme="7" tint="0.79998168889431442"/>
                </patternFill>
              </fill>
            </x14:dxf>
          </x14:cfRule>
          <xm:sqref>X35</xm:sqref>
        </x14:conditionalFormatting>
        <x14:conditionalFormatting xmlns:xm="http://schemas.microsoft.com/office/excel/2006/main">
          <x14:cfRule type="expression" priority="332" id="{87275E47-F03D-4FF2-B01A-954B2CEF89D5}">
            <xm:f>VLOOKUP(X36,Calendars!$O$1:$U$398,MATCH($X$1,Calendars!$O$1:$U$1,0),FALSE)="Non Contract"</xm:f>
            <x14:dxf>
              <fill>
                <patternFill patternType="lightDown"/>
              </fill>
              <border>
                <bottom/>
              </border>
            </x14:dxf>
          </x14:cfRule>
          <x14:cfRule type="expression" priority="341" id="{BB9A73C3-1A60-4226-9293-0612F68AF238}">
            <xm:f>VLOOKUP(X36,Calendars!$O$1:$U$398,MATCH($X$1,Calendars!$O$1:$U$1,0),FALSE)="Holiday"</xm:f>
            <x14:dxf>
              <fill>
                <patternFill>
                  <bgColor rgb="FFFF99FF"/>
                </patternFill>
              </fill>
              <border>
                <bottom/>
              </border>
            </x14:dxf>
          </x14:cfRule>
          <xm:sqref>X35</xm:sqref>
        </x14:conditionalFormatting>
        <x14:conditionalFormatting xmlns:xm="http://schemas.microsoft.com/office/excel/2006/main">
          <x14:cfRule type="expression" priority="321" id="{9E345FA6-9C4F-4AAA-AB7B-EEB4DE8A573C}">
            <xm:f>AND(VLOOKUP(Y36,Calendars!$O$1:$U$398,MATCH($X$1,Calendars!$O$1:$U$1,0),FALSE)="Non Contract",$C$5&gt;0)</xm:f>
            <x14:dxf>
              <fill>
                <patternFill patternType="solid">
                  <fgColor theme="4" tint="0.79998168889431442"/>
                  <bgColor theme="8" tint="0.79995117038483843"/>
                </patternFill>
              </fill>
            </x14:dxf>
          </x14:cfRule>
          <xm:sqref>Y35</xm:sqref>
        </x14:conditionalFormatting>
        <x14:conditionalFormatting xmlns:xm="http://schemas.microsoft.com/office/excel/2006/main">
          <x14:cfRule type="expression" priority="331" id="{68587669-66AC-44C4-835B-82D8B56EBFD2}">
            <xm:f>AND(VLOOKUP(Y36,Calendars!$O$1:$U$398,MATCH($X$1,Calendars!$O$1:$U$1,0),FALSE)="",Y35=0)</xm:f>
            <x14:dxf>
              <fill>
                <patternFill>
                  <bgColor theme="7" tint="0.79998168889431442"/>
                </patternFill>
              </fill>
            </x14:dxf>
          </x14:cfRule>
          <xm:sqref>Y35</xm:sqref>
        </x14:conditionalFormatting>
        <x14:conditionalFormatting xmlns:xm="http://schemas.microsoft.com/office/excel/2006/main">
          <x14:cfRule type="expression" priority="320" id="{09D031B0-416C-4703-9ED3-5D7ED9B779C0}">
            <xm:f>VLOOKUP(Y36,Calendars!$O$1:$U$398,MATCH($X$1,Calendars!$O$1:$U$1,0),FALSE)="Non Contract"</xm:f>
            <x14:dxf>
              <fill>
                <patternFill patternType="lightDown"/>
              </fill>
              <border>
                <bottom/>
              </border>
            </x14:dxf>
          </x14:cfRule>
          <x14:cfRule type="expression" priority="329" id="{BC0F6507-B5E7-41F3-980D-173AFA330CC2}">
            <xm:f>VLOOKUP(Y36,Calendars!$O$1:$U$398,MATCH($X$1,Calendars!$O$1:$U$1,0),FALSE)="Holiday"</xm:f>
            <x14:dxf>
              <fill>
                <patternFill>
                  <bgColor rgb="FFFF99FF"/>
                </patternFill>
              </fill>
              <border>
                <bottom/>
              </border>
            </x14:dxf>
          </x14:cfRule>
          <xm:sqref>Y35</xm:sqref>
        </x14:conditionalFormatting>
        <x14:conditionalFormatting xmlns:xm="http://schemas.microsoft.com/office/excel/2006/main">
          <x14:cfRule type="expression" priority="309" id="{014B722A-8B63-4005-81A4-295FF5FDF488}">
            <xm:f>AND(VLOOKUP(Z36,Calendars!$O$1:$U$398,MATCH($X$1,Calendars!$O$1:$U$1,0),FALSE)="Non Contract",$C$5&gt;0)</xm:f>
            <x14:dxf>
              <fill>
                <patternFill patternType="solid">
                  <fgColor theme="4" tint="0.79998168889431442"/>
                  <bgColor theme="8" tint="0.79995117038483843"/>
                </patternFill>
              </fill>
            </x14:dxf>
          </x14:cfRule>
          <xm:sqref>Z35:AB35</xm:sqref>
        </x14:conditionalFormatting>
        <x14:conditionalFormatting xmlns:xm="http://schemas.microsoft.com/office/excel/2006/main">
          <x14:cfRule type="expression" priority="319" id="{2AC8B7CF-9CA0-4A0D-8638-4221FA00C065}">
            <xm:f>AND(VLOOKUP(Z36,Calendars!$O$1:$U$398,MATCH($X$1,Calendars!$O$1:$U$1,0),FALSE)="",Z35=0)</xm:f>
            <x14:dxf>
              <fill>
                <patternFill>
                  <bgColor theme="7" tint="0.79998168889431442"/>
                </patternFill>
              </fill>
            </x14:dxf>
          </x14:cfRule>
          <xm:sqref>Z35:AB35</xm:sqref>
        </x14:conditionalFormatting>
        <x14:conditionalFormatting xmlns:xm="http://schemas.microsoft.com/office/excel/2006/main">
          <x14:cfRule type="expression" priority="308" id="{AD13DF4B-58D8-4842-87E5-F5FF6652B6BF}">
            <xm:f>VLOOKUP(Z36,Calendars!$O$1:$U$398,MATCH($X$1,Calendars!$O$1:$U$1,0),FALSE)="Non Contract"</xm:f>
            <x14:dxf>
              <fill>
                <patternFill patternType="lightDown"/>
              </fill>
              <border>
                <bottom/>
              </border>
            </x14:dxf>
          </x14:cfRule>
          <x14:cfRule type="expression" priority="317" id="{28B98906-CA8B-44E6-9932-9F9C2A0F5769}">
            <xm:f>VLOOKUP(Z36,Calendars!$O$1:$U$398,MATCH($X$1,Calendars!$O$1:$U$1,0),FALSE)="Holiday"</xm:f>
            <x14:dxf>
              <fill>
                <patternFill>
                  <bgColor rgb="FFFF99FF"/>
                </patternFill>
              </fill>
              <border>
                <bottom/>
              </border>
            </x14:dxf>
          </x14:cfRule>
          <xm:sqref>Z35:AB35</xm:sqref>
        </x14:conditionalFormatting>
        <x14:conditionalFormatting xmlns:xm="http://schemas.microsoft.com/office/excel/2006/main">
          <x14:cfRule type="expression" priority="292" id="{0EB650A6-E71C-45FD-9CFA-889499744CAC}">
            <xm:f>AND(VLOOKUP(Q17,Calendars!$O$1:$U$398,MATCH($X$1,Calendars!$O$1:$U$1,0),FALSE)="Non Contract",$C$5&gt;0)</xm:f>
            <x14:dxf>
              <fill>
                <patternFill patternType="solid">
                  <fgColor theme="4" tint="0.79998168889431442"/>
                  <bgColor theme="8" tint="0.79995117038483843"/>
                </patternFill>
              </fill>
            </x14:dxf>
          </x14:cfRule>
          <xm:sqref>Q16</xm:sqref>
        </x14:conditionalFormatting>
        <x14:conditionalFormatting xmlns:xm="http://schemas.microsoft.com/office/excel/2006/main">
          <x14:cfRule type="expression" priority="302" id="{D9638A4B-74D4-4A9D-B907-937BD3FBFF51}">
            <xm:f>AND(VLOOKUP(Q17,Calendars!$O$1:$U$398,MATCH($X$1,Calendars!$O$1:$U$1,0),FALSE)="",Q16=0)</xm:f>
            <x14:dxf>
              <fill>
                <patternFill>
                  <bgColor theme="7" tint="0.79998168889431442"/>
                </patternFill>
              </fill>
            </x14:dxf>
          </x14:cfRule>
          <xm:sqref>Q16</xm:sqref>
        </x14:conditionalFormatting>
        <x14:conditionalFormatting xmlns:xm="http://schemas.microsoft.com/office/excel/2006/main">
          <x14:cfRule type="expression" priority="291" id="{A9A306D0-F379-48BF-8684-FE6BA475CD66}">
            <xm:f>VLOOKUP(Q17,Calendars!$O$1:$U$398,MATCH($X$1,Calendars!$O$1:$U$1,0),FALSE)="Non Contract"</xm:f>
            <x14:dxf>
              <fill>
                <patternFill patternType="lightDown"/>
              </fill>
              <border>
                <bottom/>
              </border>
            </x14:dxf>
          </x14:cfRule>
          <x14:cfRule type="expression" priority="300" id="{3FBEFBE5-1E31-443F-8665-B76F39D65CAF}">
            <xm:f>VLOOKUP(Q17,Calendars!$O$1:$U$398,MATCH($X$1,Calendars!$O$1:$U$1,0),FALSE)="Holiday"</xm:f>
            <x14:dxf>
              <fill>
                <patternFill>
                  <bgColor rgb="FFFF99FF"/>
                </patternFill>
              </fill>
              <border>
                <bottom/>
              </border>
            </x14:dxf>
          </x14:cfRule>
          <xm:sqref>Q16</xm:sqref>
        </x14:conditionalFormatting>
        <x14:conditionalFormatting xmlns:xm="http://schemas.microsoft.com/office/excel/2006/main">
          <x14:cfRule type="expression" priority="280" id="{28665C10-A1A2-40CB-A0C7-281CD234A989}">
            <xm:f>AND(VLOOKUP(R17,Calendars!$O$1:$U$398,MATCH($X$1,Calendars!$O$1:$U$1,0),FALSE)="Non Contract",$C$5&gt;0)</xm:f>
            <x14:dxf>
              <fill>
                <patternFill patternType="solid">
                  <fgColor theme="4" tint="0.79998168889431442"/>
                  <bgColor theme="8" tint="0.79995117038483843"/>
                </patternFill>
              </fill>
            </x14:dxf>
          </x14:cfRule>
          <xm:sqref>R16</xm:sqref>
        </x14:conditionalFormatting>
        <x14:conditionalFormatting xmlns:xm="http://schemas.microsoft.com/office/excel/2006/main">
          <x14:cfRule type="expression" priority="290" id="{9A839476-C1B5-4D94-A262-90BA63E5D5DC}">
            <xm:f>AND(VLOOKUP(R17,Calendars!$O$1:$U$398,MATCH($X$1,Calendars!$O$1:$U$1,0),FALSE)="",R16=0)</xm:f>
            <x14:dxf>
              <fill>
                <patternFill>
                  <bgColor theme="7" tint="0.79998168889431442"/>
                </patternFill>
              </fill>
            </x14:dxf>
          </x14:cfRule>
          <xm:sqref>R16</xm:sqref>
        </x14:conditionalFormatting>
        <x14:conditionalFormatting xmlns:xm="http://schemas.microsoft.com/office/excel/2006/main">
          <x14:cfRule type="expression" priority="279" id="{A2B198C2-0757-4AD1-90F6-D883EB3BEB76}">
            <xm:f>VLOOKUP(R17,Calendars!$O$1:$U$398,MATCH($X$1,Calendars!$O$1:$U$1,0),FALSE)="Non Contract"</xm:f>
            <x14:dxf>
              <fill>
                <patternFill patternType="lightDown"/>
              </fill>
              <border>
                <bottom/>
              </border>
            </x14:dxf>
          </x14:cfRule>
          <x14:cfRule type="expression" priority="288" id="{35557E13-8B87-48B9-A57D-36182DFBD047}">
            <xm:f>VLOOKUP(R17,Calendars!$O$1:$U$398,MATCH($X$1,Calendars!$O$1:$U$1,0),FALSE)="Holiday"</xm:f>
            <x14:dxf>
              <fill>
                <patternFill>
                  <bgColor rgb="FFFF99FF"/>
                </patternFill>
              </fill>
              <border>
                <bottom/>
              </border>
            </x14:dxf>
          </x14:cfRule>
          <xm:sqref>R16</xm:sqref>
        </x14:conditionalFormatting>
        <x14:conditionalFormatting xmlns:xm="http://schemas.microsoft.com/office/excel/2006/main">
          <x14:cfRule type="expression" priority="268" id="{83DE976D-DC58-4ACA-BC30-9088F1C4A05A}">
            <xm:f>AND(VLOOKUP(S17,Calendars!$O$1:$U$398,MATCH($X$1,Calendars!$O$1:$U$1,0),FALSE)="Non Contract",$C$5&gt;0)</xm:f>
            <x14:dxf>
              <fill>
                <patternFill patternType="solid">
                  <fgColor theme="4" tint="0.79998168889431442"/>
                  <bgColor theme="8" tint="0.79995117038483843"/>
                </patternFill>
              </fill>
            </x14:dxf>
          </x14:cfRule>
          <xm:sqref>S16:U16</xm:sqref>
        </x14:conditionalFormatting>
        <x14:conditionalFormatting xmlns:xm="http://schemas.microsoft.com/office/excel/2006/main">
          <x14:cfRule type="expression" priority="278" id="{FD3D206D-9CEC-4FD8-9435-50DD820EFD62}">
            <xm:f>AND(VLOOKUP(S17,Calendars!$O$1:$U$398,MATCH($X$1,Calendars!$O$1:$U$1,0),FALSE)="",S16=0)</xm:f>
            <x14:dxf>
              <fill>
                <patternFill>
                  <bgColor theme="7" tint="0.79998168889431442"/>
                </patternFill>
              </fill>
            </x14:dxf>
          </x14:cfRule>
          <xm:sqref>S16:U16</xm:sqref>
        </x14:conditionalFormatting>
        <x14:conditionalFormatting xmlns:xm="http://schemas.microsoft.com/office/excel/2006/main">
          <x14:cfRule type="expression" priority="267" id="{23E7D1BB-5C58-4FA0-9AA6-17FDC591E107}">
            <xm:f>VLOOKUP(S17,Calendars!$O$1:$U$398,MATCH($X$1,Calendars!$O$1:$U$1,0),FALSE)="Non Contract"</xm:f>
            <x14:dxf>
              <fill>
                <patternFill patternType="lightDown"/>
              </fill>
              <border>
                <bottom/>
              </border>
            </x14:dxf>
          </x14:cfRule>
          <x14:cfRule type="expression" priority="276" id="{E92E8192-A4E8-4AF8-BAB9-D77EC4294576}">
            <xm:f>VLOOKUP(S17,Calendars!$O$1:$U$398,MATCH($X$1,Calendars!$O$1:$U$1,0),FALSE)="Holiday"</xm:f>
            <x14:dxf>
              <fill>
                <patternFill>
                  <bgColor rgb="FFFF99FF"/>
                </patternFill>
              </fill>
              <border>
                <bottom/>
              </border>
            </x14:dxf>
          </x14:cfRule>
          <xm:sqref>S16:U16</xm:sqref>
        </x14:conditionalFormatting>
        <x14:conditionalFormatting xmlns:xm="http://schemas.microsoft.com/office/excel/2006/main">
          <x14:cfRule type="expression" priority="265" id="{B15E4D6F-4F73-4ECD-A995-9AC6BF13FFDB}">
            <xm:f>VLOOKUP(C6,Calendars!$V$1:$AB$398,MATCH($X$1,Calendars!$V$1:$AB$1,0),FALSE)="FLEX"</xm:f>
            <x14:dxf>
              <fill>
                <patternFill>
                  <bgColor theme="4"/>
                </patternFill>
              </fill>
            </x14:dxf>
          </x14:cfRule>
          <xm:sqref>D6:G6 D8:G8 D10:G10</xm:sqref>
        </x14:conditionalFormatting>
        <x14:conditionalFormatting xmlns:xm="http://schemas.microsoft.com/office/excel/2006/main">
          <x14:cfRule type="expression" priority="214" id="{5EC36AEC-F1EC-4D43-981C-A419756A2C0B}">
            <xm:f>VLOOKUP(R12,Calendars!$V$1:$AC$398,MATCH($X$1,Calendars!$V$1:$AC$1,0),FALSE)="FLEX"</xm:f>
            <x14:dxf>
              <fill>
                <patternFill>
                  <bgColor theme="4"/>
                </patternFill>
              </fill>
            </x14:dxf>
          </x14:cfRule>
          <xm:sqref>R12:U12</xm:sqref>
        </x14:conditionalFormatting>
        <x14:conditionalFormatting xmlns:xm="http://schemas.microsoft.com/office/excel/2006/main">
          <x14:cfRule type="expression" priority="197" id="{7ED62E66-0573-41B8-A5E1-C81547FC205C}">
            <xm:f>VLOOKUP(E19,Calendars!$V$1:$AC$398,MATCH($X$1,Calendars!$V$1:$AC$1,0),FALSE)="FLEX"</xm:f>
            <x14:dxf>
              <fill>
                <patternFill>
                  <bgColor theme="4"/>
                </patternFill>
              </fill>
            </x14:dxf>
          </x14:cfRule>
          <xm:sqref>D19:G19</xm:sqref>
        </x14:conditionalFormatting>
        <x14:conditionalFormatting xmlns:xm="http://schemas.microsoft.com/office/excel/2006/main">
          <x14:cfRule type="expression" priority="196" id="{83B09D46-E831-4506-B521-9B8C941DD569}">
            <xm:f>VLOOKUP(Q19,Calendars!$V$1:$AB$398,MATCH($X$1,Calendars!$V$1:$AB$1,0),FALSE)="HW"</xm:f>
            <x14:dxf>
              <fill>
                <patternFill>
                  <bgColor rgb="FF00B050"/>
                </patternFill>
              </fill>
            </x14:dxf>
          </x14:cfRule>
          <xm:sqref>Q19:U19</xm:sqref>
        </x14:conditionalFormatting>
        <x14:conditionalFormatting xmlns:xm="http://schemas.microsoft.com/office/excel/2006/main">
          <x14:cfRule type="expression" priority="195" id="{509A802B-B8DF-4AC7-8283-F724297489BD}">
            <xm:f>VLOOKUP(J23,Calendars!$V$1:$AB$398,MATCH($X$1,Calendars!$V$1:$AB$1,0),FALSE)="Flex"</xm:f>
            <x14:dxf>
              <fill>
                <patternFill>
                  <bgColor rgb="FF0070C0"/>
                </patternFill>
              </fill>
            </x14:dxf>
          </x14:cfRule>
          <xm:sqref>J23:L23</xm:sqref>
        </x14:conditionalFormatting>
        <x14:conditionalFormatting xmlns:xm="http://schemas.microsoft.com/office/excel/2006/main">
          <x14:cfRule type="expression" priority="31031" id="{8D67D391-3A9C-4C4A-96A1-6320D8ACEBC2}">
            <xm:f>VLOOKUP(C6,Calendars!$V$1:$AB$398,MATCH($X$1,Calendars!$V$1:$AB$1,0),FALSE)="FLEX"</xm:f>
            <x14:dxf>
              <fill>
                <patternFill>
                  <bgColor theme="4"/>
                </patternFill>
              </fill>
            </x14:dxf>
          </x14:cfRule>
          <x14:cfRule type="expression" priority="31032" id="{B06220CB-3C0E-49F9-A0E0-1B87E9635F5F}">
            <xm:f>VLOOKUP(C6,Calendars!$V$1:$AB$398,MATCH($X$1,Calendars!$V$1:$AB$1,0),FALSE)="MPTC"</xm:f>
            <x14:dxf>
              <fill>
                <patternFill>
                  <bgColor theme="5" tint="0.39994506668294322"/>
                </patternFill>
              </fill>
            </x14:dxf>
          </x14:cfRule>
          <x14:cfRule type="expression" priority="31033" id="{D706EA56-4EA9-4E2D-9AFE-D470D835A08A}">
            <xm:f>VLOOKUP(C6,Calendars!$V$1:$AB$398,MATCH($X$1,Calendars!$V$1:$AB$1,0),FALSE)="PTC"</xm:f>
            <x14:dxf>
              <fill>
                <patternFill>
                  <bgColor theme="5" tint="-0.24994659260841701"/>
                </patternFill>
              </fill>
            </x14:dxf>
          </x14:cfRule>
          <x14:cfRule type="expression" priority="31034" id="{DF321E73-FF5F-49DC-BDC3-06B24075794B}">
            <xm:f>VLOOKUP(C6,Calendars!$V$1:$AB$398,MATCH($X$1,Calendars!$V$1:$AB$1,0),FALSE)="PD"</xm:f>
            <x14:dxf>
              <fill>
                <patternFill>
                  <bgColor rgb="FF0070C0"/>
                </patternFill>
              </fill>
            </x14:dxf>
          </x14:cfRule>
          <x14:cfRule type="expression" priority="31035" id="{B03537F5-B544-40E6-82E6-6B7CD500BE14}">
            <xm:f>VLOOKUP(C6,Calendars!$O$1:$U$398,MATCH($X$1,Calendars!$O$1:$U$1,0),FALSE)="Non Contract"</xm:f>
            <x14:dxf>
              <fill>
                <patternFill patternType="lightDown"/>
              </fill>
            </x14:dxf>
          </x14:cfRule>
          <x14:cfRule type="expression" priority="31036" id="{7A1B7302-A911-4A43-9363-C323BD933621}">
            <xm:f>VLOOKUP(C6,Calendars!$O$1:$U$398,MATCH($X$1,Calendars!$O$1:$U$1,0),FALSE)="Holiday"</xm:f>
            <x14:dxf>
              <fill>
                <patternFill>
                  <bgColor rgb="FFFF99FF"/>
                </patternFill>
              </fill>
            </x14:dxf>
          </x14:cfRule>
          <xm:sqref>C6 C8 C10 Q12 C19</xm:sqref>
        </x14:conditionalFormatting>
        <x14:conditionalFormatting xmlns:xm="http://schemas.microsoft.com/office/excel/2006/main">
          <x14:cfRule type="expression" priority="31061" id="{0C394466-49A3-4D10-AD82-1BA40E7D961D}">
            <xm:f>AND(VLOOKUP(X39,Calendars!$P$1:$Y$398,MATCH($X$1,Calendars!$P$1:$Y$1,0),FALSE)="",X38=0)</xm:f>
            <x14:dxf>
              <fill>
                <patternFill>
                  <bgColor theme="7" tint="0.79998168889431442"/>
                </patternFill>
              </fill>
            </x14:dxf>
          </x14:cfRule>
          <xm:sqref>X38:AB38 X40:AB40</xm:sqref>
        </x14:conditionalFormatting>
        <x14:conditionalFormatting xmlns:xm="http://schemas.microsoft.com/office/excel/2006/main">
          <x14:cfRule type="expression" priority="31063" id="{257B0559-BD48-4131-842F-77BDFD6FD6B8}">
            <xm:f>VLOOKUP(X39,Calendars!$P$1:$Y$398,MATCH($X$1,Calendars!$P$1:$Y$1,0),FALSE)="Non Contract"</xm:f>
            <x14:dxf>
              <fill>
                <patternFill patternType="lightDown"/>
              </fill>
              <border>
                <bottom/>
              </border>
            </x14:dxf>
          </x14:cfRule>
          <x14:cfRule type="expression" priority="31064" id="{BEE6C061-DDBD-4EA0-8250-30659A550C75}">
            <xm:f>VLOOKUP(X39,Calendars!$P$1:$Y$398,MATCH($X$1,Calendars!$P$1:$Y$1,0),FALSE)="Holiday"</xm:f>
            <x14:dxf>
              <fill>
                <patternFill>
                  <bgColor rgb="FFFF99FF"/>
                </patternFill>
              </fill>
              <border>
                <bottom/>
              </border>
            </x14:dxf>
          </x14:cfRule>
          <xm:sqref>X38:AB38 X40:AB40</xm:sqref>
        </x14:conditionalFormatting>
        <x14:conditionalFormatting xmlns:xm="http://schemas.microsoft.com/office/excel/2006/main">
          <x14:cfRule type="expression" priority="31067" id="{1FBA785F-34BE-4B22-8567-C3CFC07AB521}">
            <xm:f>VLOOKUP(X39,Calendars!$AA$1:$AK$398,MATCH($X$1,Calendars!$AA$1:$AK$1,0),FALSE)="MPTC"</xm:f>
            <x14:dxf>
              <fill>
                <patternFill>
                  <bgColor theme="5" tint="0.39994506668294322"/>
                </patternFill>
              </fill>
            </x14:dxf>
          </x14:cfRule>
          <x14:cfRule type="expression" priority="31068" id="{E7FE0082-131A-4FBE-99A2-47156FA58250}">
            <xm:f>VLOOKUP(X39,Calendars!$AA$1:$AK$398,MATCH($X$1,Calendars!$AA$1:$AK$1,0),FALSE)="PTC"</xm:f>
            <x14:dxf>
              <fill>
                <patternFill>
                  <bgColor theme="5" tint="-0.24994659260841701"/>
                </patternFill>
              </fill>
            </x14:dxf>
          </x14:cfRule>
          <x14:cfRule type="expression" priority="31069" id="{8F801F9A-5412-4C8F-BA4E-C91FB503EEF0}">
            <xm:f>VLOOKUP(X39,Calendars!$AA$1:$AK$398,MATCH($X$1,Calendars!$AA$1:$AK$1,0),FALSE)="PD"</xm:f>
            <x14:dxf>
              <fill>
                <patternFill>
                  <bgColor rgb="FF0070C0"/>
                </patternFill>
              </fill>
            </x14:dxf>
          </x14:cfRule>
          <x14:cfRule type="expression" priority="31070" id="{2CDD2EEA-05C5-46D8-AC2D-B996C4317040}">
            <xm:f>VLOOKUP(X39,Calendars!$P$1:$Y$398,MATCH($X$1,Calendars!$P$1:$Y$1,0),FALSE)="Non Contract"</xm:f>
            <x14:dxf>
              <fill>
                <patternFill patternType="lightDown"/>
              </fill>
            </x14:dxf>
          </x14:cfRule>
          <x14:cfRule type="expression" priority="31071" id="{8EFBCBB7-65AA-4ECF-9E45-F52A3A8E9682}">
            <xm:f>VLOOKUP(X39,Calendars!$P$1:$Y$398,MATCH($X$1,Calendars!$P$1:$Y$1,0),FALSE)="Holiday"</xm:f>
            <x14:dxf>
              <fill>
                <patternFill>
                  <bgColor rgb="FFFF99FF"/>
                </patternFill>
              </fill>
            </x14:dxf>
          </x14:cfRule>
          <xm:sqref>X39:AB39 X41:AB41</xm:sqref>
        </x14:conditionalFormatting>
        <x14:conditionalFormatting xmlns:xm="http://schemas.microsoft.com/office/excel/2006/main">
          <x14:cfRule type="expression" priority="31077" id="{93BCA43A-BDDB-4AD6-80D2-4362250B53F6}">
            <xm:f>VLOOKUP(C6,Calendars!$V$1:$AB$398,MATCH($X$1,Calendars!$V$1:$AB$1,0),FALSE)="MPTC"</xm:f>
            <x14:dxf>
              <fill>
                <patternFill>
                  <bgColor theme="5" tint="0.39994506668294322"/>
                </patternFill>
              </fill>
            </x14:dxf>
          </x14:cfRule>
          <x14:cfRule type="expression" priority="31078" id="{97D68C60-98DE-4E78-B119-8B5C3208E518}">
            <xm:f>VLOOKUP(C6,Calendars!$V$1:$AB$398,MATCH($X$1,Calendars!$V$1:$AB$1,0),FALSE)="PTC"</xm:f>
            <x14:dxf>
              <fill>
                <patternFill>
                  <bgColor theme="5" tint="-0.24994659260841701"/>
                </patternFill>
              </fill>
            </x14:dxf>
          </x14:cfRule>
          <x14:cfRule type="expression" priority="31079" id="{B6919A94-C704-4B5F-AE91-7A86E71813CC}">
            <xm:f>VLOOKUP(C6,Calendars!$V$1:$AB$398,MATCH($X$1,Calendars!$V$1:$AB$1,0),FALSE)="PD"</xm:f>
            <x14:dxf>
              <fill>
                <patternFill>
                  <bgColor rgb="FF0070C0"/>
                </patternFill>
              </fill>
            </x14:dxf>
          </x14:cfRule>
          <x14:cfRule type="expression" priority="31080" id="{DD7A69CD-C8EF-4160-B089-12ECB10233BC}">
            <xm:f>VLOOKUP(C6,Calendars!$O$1:$U$398,MATCH($X$1,Calendars!$O$1:$U$1,0),FALSE)="Non Contract"</xm:f>
            <x14:dxf>
              <fill>
                <patternFill patternType="lightDown"/>
              </fill>
            </x14:dxf>
          </x14:cfRule>
          <x14:cfRule type="expression" priority="31081" id="{5A6D45A9-E962-4043-B6F7-AD50478A3B0B}">
            <xm:f>VLOOKUP(C6,Calendars!$O$1:$U$398,MATCH($X$1,Calendars!$O$1:$U$1,0),FALSE)="Holiday"</xm:f>
            <x14:dxf>
              <fill>
                <patternFill>
                  <bgColor rgb="FFFF99FF"/>
                </patternFill>
              </fill>
            </x14:dxf>
          </x14:cfRule>
          <xm:sqref>D6:G6 C12:G12 C14:G14 J6:N6 J8:N8 J10:N10 J12:N12 J14:N14 Q6:U6 Q8:U8 Q10:U10 Q14:U14 X6:AB6 X8:AB8 X10:AB10 X12:AB12 X14:AB14 C17:G17 C21:G21 C23:G23 C25:G25 J17:N17 J19:N19 J21:N21 J23:N23 J25:N25 Q19:U19 Q21:U21 Q23:U23 Q25:U25 X17:AB17 X19:AB19 X21:AB21 X23:AB23 X25:AB25 C30:G30 C32:G32 C34:G34 C36:G36 J28:N28 J30:N30 J32:N32 J34:N34 J36:N36 X28:AB28 X30:AB30 X32:AB32 X34:AB34 X36:AB36 Q17:U17 D8:G8 D10:G10 R12:U12 D19:G19 C28:G28</xm:sqref>
        </x14:conditionalFormatting>
        <x14:conditionalFormatting xmlns:xm="http://schemas.microsoft.com/office/excel/2006/main">
          <x14:cfRule type="expression" priority="100" id="{3FBFDCDC-8244-4C13-B5F2-EF7DE3D7A1EA}">
            <xm:f>AND(VLOOKUP(Q28,Calendars!$O$1:$U$398,MATCH($X$1,Calendars!$O$1:$U$1,0),FALSE)="Non Contract",$C$5&gt;0)</xm:f>
            <x14:dxf>
              <fill>
                <patternFill patternType="solid">
                  <fgColor theme="4" tint="0.79998168889431442"/>
                  <bgColor theme="8" tint="0.79995117038483843"/>
                </patternFill>
              </fill>
            </x14:dxf>
          </x14:cfRule>
          <xm:sqref>Q27</xm:sqref>
        </x14:conditionalFormatting>
        <x14:conditionalFormatting xmlns:xm="http://schemas.microsoft.com/office/excel/2006/main">
          <x14:cfRule type="expression" priority="105" id="{C0BA2DE4-82CF-4269-BA58-F051A7F2A785}">
            <xm:f>AND(VLOOKUP(Q28,Calendars!$O$1:$U$398,MATCH($X$1,Calendars!$O$1:$U$1,0),FALSE)="",Q27=0)</xm:f>
            <x14:dxf>
              <fill>
                <patternFill>
                  <bgColor theme="7" tint="0.79998168889431442"/>
                </patternFill>
              </fill>
            </x14:dxf>
          </x14:cfRule>
          <xm:sqref>Q27</xm:sqref>
        </x14:conditionalFormatting>
        <x14:conditionalFormatting xmlns:xm="http://schemas.microsoft.com/office/excel/2006/main">
          <x14:cfRule type="expression" priority="99" id="{8A318FA8-D556-4F7F-B668-30763C4A74A7}">
            <xm:f>VLOOKUP(Q28,Calendars!$O$1:$U$398,MATCH($X$1,Calendars!$O$1:$U$1,0),FALSE)="Non Contract"</xm:f>
            <x14:dxf>
              <fill>
                <patternFill patternType="lightDown"/>
              </fill>
              <border>
                <bottom/>
              </border>
            </x14:dxf>
          </x14:cfRule>
          <x14:cfRule type="expression" priority="103" id="{AB54FCFD-4E28-4477-968E-52117FA10535}">
            <xm:f>VLOOKUP(Q28,Calendars!$O$1:$U$398,MATCH($X$1,Calendars!$O$1:$U$1,0),FALSE)="Holiday"</xm:f>
            <x14:dxf>
              <fill>
                <patternFill>
                  <bgColor rgb="FFFF99FF"/>
                </patternFill>
              </fill>
              <border>
                <bottom/>
              </border>
            </x14:dxf>
          </x14:cfRule>
          <xm:sqref>Q27</xm:sqref>
        </x14:conditionalFormatting>
        <x14:conditionalFormatting xmlns:xm="http://schemas.microsoft.com/office/excel/2006/main">
          <x14:cfRule type="expression" priority="93" id="{84EDC1BA-D4C8-4A52-BD9A-46715365350C}">
            <xm:f>AND(VLOOKUP(R28,Calendars!$O$1:$U$398,MATCH($X$1,Calendars!$O$1:$U$1,0),FALSE)="Non Contract",$C$5&gt;0)</xm:f>
            <x14:dxf>
              <fill>
                <patternFill patternType="solid">
                  <fgColor theme="4" tint="0.79998168889431442"/>
                  <bgColor theme="8" tint="0.79995117038483843"/>
                </patternFill>
              </fill>
            </x14:dxf>
          </x14:cfRule>
          <xm:sqref>R27</xm:sqref>
        </x14:conditionalFormatting>
        <x14:conditionalFormatting xmlns:xm="http://schemas.microsoft.com/office/excel/2006/main">
          <x14:cfRule type="expression" priority="98" id="{F0616A50-43D0-4FC4-B959-7893647A83C3}">
            <xm:f>AND(VLOOKUP(R28,Calendars!$O$1:$U$398,MATCH($X$1,Calendars!$O$1:$U$1,0),FALSE)="",R27=0)</xm:f>
            <x14:dxf>
              <fill>
                <patternFill>
                  <bgColor theme="7" tint="0.79998168889431442"/>
                </patternFill>
              </fill>
            </x14:dxf>
          </x14:cfRule>
          <xm:sqref>R27</xm:sqref>
        </x14:conditionalFormatting>
        <x14:conditionalFormatting xmlns:xm="http://schemas.microsoft.com/office/excel/2006/main">
          <x14:cfRule type="expression" priority="92" id="{BD1CD6E7-1926-46A5-92F5-B4FB7A54E75F}">
            <xm:f>VLOOKUP(R28,Calendars!$O$1:$U$398,MATCH($X$1,Calendars!$O$1:$U$1,0),FALSE)="Non Contract"</xm:f>
            <x14:dxf>
              <fill>
                <patternFill patternType="lightDown"/>
              </fill>
              <border>
                <bottom/>
              </border>
            </x14:dxf>
          </x14:cfRule>
          <x14:cfRule type="expression" priority="96" id="{F8E1D22D-1610-448D-8D3B-C55083ED999E}">
            <xm:f>VLOOKUP(R28,Calendars!$O$1:$U$398,MATCH($X$1,Calendars!$O$1:$U$1,0),FALSE)="Holiday"</xm:f>
            <x14:dxf>
              <fill>
                <patternFill>
                  <bgColor rgb="FFFF99FF"/>
                </patternFill>
              </fill>
              <border>
                <bottom/>
              </border>
            </x14:dxf>
          </x14:cfRule>
          <xm:sqref>R27</xm:sqref>
        </x14:conditionalFormatting>
        <x14:conditionalFormatting xmlns:xm="http://schemas.microsoft.com/office/excel/2006/main">
          <x14:cfRule type="expression" priority="86" id="{FD391132-A0C8-4983-9A5E-0D6A333D21FE}">
            <xm:f>AND(VLOOKUP(S28,Calendars!$O$1:$U$398,MATCH($X$1,Calendars!$O$1:$U$1,0),FALSE)="Non Contract",$C$5&gt;0)</xm:f>
            <x14:dxf>
              <fill>
                <patternFill patternType="solid">
                  <fgColor theme="4" tint="0.79998168889431442"/>
                  <bgColor theme="8" tint="0.79995117038483843"/>
                </patternFill>
              </fill>
            </x14:dxf>
          </x14:cfRule>
          <xm:sqref>S27:U27</xm:sqref>
        </x14:conditionalFormatting>
        <x14:conditionalFormatting xmlns:xm="http://schemas.microsoft.com/office/excel/2006/main">
          <x14:cfRule type="expression" priority="91" id="{17FA4862-668A-4E8F-BD00-9B6619FDD89D}">
            <xm:f>AND(VLOOKUP(S28,Calendars!$O$1:$U$398,MATCH($X$1,Calendars!$O$1:$U$1,0),FALSE)="",S27=0)</xm:f>
            <x14:dxf>
              <fill>
                <patternFill>
                  <bgColor theme="7" tint="0.79998168889431442"/>
                </patternFill>
              </fill>
            </x14:dxf>
          </x14:cfRule>
          <xm:sqref>S27:U27</xm:sqref>
        </x14:conditionalFormatting>
        <x14:conditionalFormatting xmlns:xm="http://schemas.microsoft.com/office/excel/2006/main">
          <x14:cfRule type="expression" priority="85" id="{AF96258B-C937-4968-88BB-13DFE545EFC6}">
            <xm:f>VLOOKUP(S28,Calendars!$O$1:$U$398,MATCH($X$1,Calendars!$O$1:$U$1,0),FALSE)="Non Contract"</xm:f>
            <x14:dxf>
              <fill>
                <patternFill patternType="lightDown"/>
              </fill>
              <border>
                <bottom/>
              </border>
            </x14:dxf>
          </x14:cfRule>
          <x14:cfRule type="expression" priority="89" id="{D425F20C-F789-4A10-BE0F-6ED7CFD90779}">
            <xm:f>VLOOKUP(S28,Calendars!$O$1:$U$398,MATCH($X$1,Calendars!$O$1:$U$1,0),FALSE)="Holiday"</xm:f>
            <x14:dxf>
              <fill>
                <patternFill>
                  <bgColor rgb="FFFF99FF"/>
                </patternFill>
              </fill>
              <border>
                <bottom/>
              </border>
            </x14:dxf>
          </x14:cfRule>
          <xm:sqref>S27:U27</xm:sqref>
        </x14:conditionalFormatting>
        <x14:conditionalFormatting xmlns:xm="http://schemas.microsoft.com/office/excel/2006/main">
          <x14:cfRule type="expression" priority="79" id="{1132ABEF-0B20-431B-81F6-CD6102846FE8}">
            <xm:f>AND(VLOOKUP(Q30,Calendars!$O$1:$U$398,MATCH($X$1,Calendars!$O$1:$U$1,0),FALSE)="Non Contract",$C$5&gt;0)</xm:f>
            <x14:dxf>
              <fill>
                <patternFill patternType="solid">
                  <fgColor theme="4" tint="0.79998168889431442"/>
                  <bgColor theme="8" tint="0.79995117038483843"/>
                </patternFill>
              </fill>
            </x14:dxf>
          </x14:cfRule>
          <xm:sqref>Q29</xm:sqref>
        </x14:conditionalFormatting>
        <x14:conditionalFormatting xmlns:xm="http://schemas.microsoft.com/office/excel/2006/main">
          <x14:cfRule type="expression" priority="84" id="{C1A9CF23-F9D8-48DD-9882-DD834CA6E684}">
            <xm:f>AND(VLOOKUP(Q30,Calendars!$O$1:$U$398,MATCH($X$1,Calendars!$O$1:$U$1,0),FALSE)="",Q29=0)</xm:f>
            <x14:dxf>
              <fill>
                <patternFill>
                  <bgColor theme="7" tint="0.79998168889431442"/>
                </patternFill>
              </fill>
            </x14:dxf>
          </x14:cfRule>
          <xm:sqref>Q29</xm:sqref>
        </x14:conditionalFormatting>
        <x14:conditionalFormatting xmlns:xm="http://schemas.microsoft.com/office/excel/2006/main">
          <x14:cfRule type="expression" priority="78" id="{9C74A649-DA1B-4C64-ABED-7029C583F0C5}">
            <xm:f>VLOOKUP(Q30,Calendars!$O$1:$U$398,MATCH($X$1,Calendars!$O$1:$U$1,0),FALSE)="Non Contract"</xm:f>
            <x14:dxf>
              <fill>
                <patternFill patternType="lightDown"/>
              </fill>
              <border>
                <bottom/>
              </border>
            </x14:dxf>
          </x14:cfRule>
          <x14:cfRule type="expression" priority="82" id="{BC495FF2-EC4B-4C30-8442-F4FA3F9C69E7}">
            <xm:f>VLOOKUP(Q30,Calendars!$O$1:$U$398,MATCH($X$1,Calendars!$O$1:$U$1,0),FALSE)="Holiday"</xm:f>
            <x14:dxf>
              <fill>
                <patternFill>
                  <bgColor rgb="FFFF99FF"/>
                </patternFill>
              </fill>
              <border>
                <bottom/>
              </border>
            </x14:dxf>
          </x14:cfRule>
          <xm:sqref>Q29</xm:sqref>
        </x14:conditionalFormatting>
        <x14:conditionalFormatting xmlns:xm="http://schemas.microsoft.com/office/excel/2006/main">
          <x14:cfRule type="expression" priority="72" id="{661D4613-383E-49AA-B93A-D27DB24778F3}">
            <xm:f>AND(VLOOKUP(R30,Calendars!$O$1:$U$398,MATCH($X$1,Calendars!$O$1:$U$1,0),FALSE)="Non Contract",$C$5&gt;0)</xm:f>
            <x14:dxf>
              <fill>
                <patternFill patternType="solid">
                  <fgColor theme="4" tint="0.79998168889431442"/>
                  <bgColor theme="8" tint="0.79995117038483843"/>
                </patternFill>
              </fill>
            </x14:dxf>
          </x14:cfRule>
          <xm:sqref>R29</xm:sqref>
        </x14:conditionalFormatting>
        <x14:conditionalFormatting xmlns:xm="http://schemas.microsoft.com/office/excel/2006/main">
          <x14:cfRule type="expression" priority="77" id="{62F83C93-29E3-4146-B1E2-EC28B3D61322}">
            <xm:f>AND(VLOOKUP(R30,Calendars!$O$1:$U$398,MATCH($X$1,Calendars!$O$1:$U$1,0),FALSE)="",R29=0)</xm:f>
            <x14:dxf>
              <fill>
                <patternFill>
                  <bgColor theme="7" tint="0.79998168889431442"/>
                </patternFill>
              </fill>
            </x14:dxf>
          </x14:cfRule>
          <xm:sqref>R29</xm:sqref>
        </x14:conditionalFormatting>
        <x14:conditionalFormatting xmlns:xm="http://schemas.microsoft.com/office/excel/2006/main">
          <x14:cfRule type="expression" priority="71" id="{8FE92D6C-E828-4A07-9693-85BF11AC8291}">
            <xm:f>VLOOKUP(R30,Calendars!$O$1:$U$398,MATCH($X$1,Calendars!$O$1:$U$1,0),FALSE)="Non Contract"</xm:f>
            <x14:dxf>
              <fill>
                <patternFill patternType="lightDown"/>
              </fill>
              <border>
                <bottom/>
              </border>
            </x14:dxf>
          </x14:cfRule>
          <x14:cfRule type="expression" priority="75" id="{44F9B7D9-ED14-4CDE-A799-F791A1F9E560}">
            <xm:f>VLOOKUP(R30,Calendars!$O$1:$U$398,MATCH($X$1,Calendars!$O$1:$U$1,0),FALSE)="Holiday"</xm:f>
            <x14:dxf>
              <fill>
                <patternFill>
                  <bgColor rgb="FFFF99FF"/>
                </patternFill>
              </fill>
              <border>
                <bottom/>
              </border>
            </x14:dxf>
          </x14:cfRule>
          <xm:sqref>R29</xm:sqref>
        </x14:conditionalFormatting>
        <x14:conditionalFormatting xmlns:xm="http://schemas.microsoft.com/office/excel/2006/main">
          <x14:cfRule type="expression" priority="65" id="{6F82D1C9-54CE-48EB-B7D7-A113B5D56B11}">
            <xm:f>AND(VLOOKUP(S30,Calendars!$O$1:$U$398,MATCH($X$1,Calendars!$O$1:$U$1,0),FALSE)="Non Contract",$C$5&gt;0)</xm:f>
            <x14:dxf>
              <fill>
                <patternFill patternType="solid">
                  <fgColor theme="4" tint="0.79998168889431442"/>
                  <bgColor theme="8" tint="0.79995117038483843"/>
                </patternFill>
              </fill>
            </x14:dxf>
          </x14:cfRule>
          <xm:sqref>S29:U29</xm:sqref>
        </x14:conditionalFormatting>
        <x14:conditionalFormatting xmlns:xm="http://schemas.microsoft.com/office/excel/2006/main">
          <x14:cfRule type="expression" priority="70" id="{1E7EDB11-687E-464A-862E-1918F2B8CDE7}">
            <xm:f>AND(VLOOKUP(S30,Calendars!$O$1:$U$398,MATCH($X$1,Calendars!$O$1:$U$1,0),FALSE)="",S29=0)</xm:f>
            <x14:dxf>
              <fill>
                <patternFill>
                  <bgColor theme="7" tint="0.79998168889431442"/>
                </patternFill>
              </fill>
            </x14:dxf>
          </x14:cfRule>
          <xm:sqref>S29:U29</xm:sqref>
        </x14:conditionalFormatting>
        <x14:conditionalFormatting xmlns:xm="http://schemas.microsoft.com/office/excel/2006/main">
          <x14:cfRule type="expression" priority="64" id="{57C8576A-9149-4248-BC8F-E8FA691CA710}">
            <xm:f>VLOOKUP(S30,Calendars!$O$1:$U$398,MATCH($X$1,Calendars!$O$1:$U$1,0),FALSE)="Non Contract"</xm:f>
            <x14:dxf>
              <fill>
                <patternFill patternType="lightDown"/>
              </fill>
              <border>
                <bottom/>
              </border>
            </x14:dxf>
          </x14:cfRule>
          <x14:cfRule type="expression" priority="68" id="{FCC8CF82-7823-4926-A65D-AE9440E9E903}">
            <xm:f>VLOOKUP(S30,Calendars!$O$1:$U$398,MATCH($X$1,Calendars!$O$1:$U$1,0),FALSE)="Holiday"</xm:f>
            <x14:dxf>
              <fill>
                <patternFill>
                  <bgColor rgb="FFFF99FF"/>
                </patternFill>
              </fill>
              <border>
                <bottom/>
              </border>
            </x14:dxf>
          </x14:cfRule>
          <xm:sqref>S29:U29</xm:sqref>
        </x14:conditionalFormatting>
        <x14:conditionalFormatting xmlns:xm="http://schemas.microsoft.com/office/excel/2006/main">
          <x14:cfRule type="expression" priority="58" id="{4321C93B-2217-4E23-A636-DA22A9F3A001}">
            <xm:f>AND(VLOOKUP(Q32,Calendars!$O$1:$U$398,MATCH($X$1,Calendars!$O$1:$U$1,0),FALSE)="Non Contract",$C$5&gt;0)</xm:f>
            <x14:dxf>
              <fill>
                <patternFill patternType="solid">
                  <fgColor theme="4" tint="0.79998168889431442"/>
                  <bgColor theme="8" tint="0.79995117038483843"/>
                </patternFill>
              </fill>
            </x14:dxf>
          </x14:cfRule>
          <xm:sqref>Q31</xm:sqref>
        </x14:conditionalFormatting>
        <x14:conditionalFormatting xmlns:xm="http://schemas.microsoft.com/office/excel/2006/main">
          <x14:cfRule type="expression" priority="63" id="{F215F16E-FD6D-4391-A2DD-994FCDD40794}">
            <xm:f>AND(VLOOKUP(Q32,Calendars!$O$1:$U$398,MATCH($X$1,Calendars!$O$1:$U$1,0),FALSE)="",Q31=0)</xm:f>
            <x14:dxf>
              <fill>
                <patternFill>
                  <bgColor theme="7" tint="0.79998168889431442"/>
                </patternFill>
              </fill>
            </x14:dxf>
          </x14:cfRule>
          <xm:sqref>Q31</xm:sqref>
        </x14:conditionalFormatting>
        <x14:conditionalFormatting xmlns:xm="http://schemas.microsoft.com/office/excel/2006/main">
          <x14:cfRule type="expression" priority="57" id="{B4157C35-79AD-4047-B5EE-A423E00D3A33}">
            <xm:f>VLOOKUP(Q32,Calendars!$O$1:$U$398,MATCH($X$1,Calendars!$O$1:$U$1,0),FALSE)="Non Contract"</xm:f>
            <x14:dxf>
              <fill>
                <patternFill patternType="lightDown"/>
              </fill>
              <border>
                <bottom/>
              </border>
            </x14:dxf>
          </x14:cfRule>
          <x14:cfRule type="expression" priority="61" id="{19F305A8-2F3A-4BA0-A176-B2BF8698A551}">
            <xm:f>VLOOKUP(Q32,Calendars!$O$1:$U$398,MATCH($X$1,Calendars!$O$1:$U$1,0),FALSE)="Holiday"</xm:f>
            <x14:dxf>
              <fill>
                <patternFill>
                  <bgColor rgb="FFFF99FF"/>
                </patternFill>
              </fill>
              <border>
                <bottom/>
              </border>
            </x14:dxf>
          </x14:cfRule>
          <xm:sqref>Q31</xm:sqref>
        </x14:conditionalFormatting>
        <x14:conditionalFormatting xmlns:xm="http://schemas.microsoft.com/office/excel/2006/main">
          <x14:cfRule type="expression" priority="51" id="{B33F10CB-FA3D-4CE4-A845-FB88E8C75F9E}">
            <xm:f>AND(VLOOKUP(R32,Calendars!$O$1:$U$398,MATCH($X$1,Calendars!$O$1:$U$1,0),FALSE)="Non Contract",$C$5&gt;0)</xm:f>
            <x14:dxf>
              <fill>
                <patternFill patternType="solid">
                  <fgColor theme="4" tint="0.79998168889431442"/>
                  <bgColor theme="8" tint="0.79995117038483843"/>
                </patternFill>
              </fill>
            </x14:dxf>
          </x14:cfRule>
          <xm:sqref>R31</xm:sqref>
        </x14:conditionalFormatting>
        <x14:conditionalFormatting xmlns:xm="http://schemas.microsoft.com/office/excel/2006/main">
          <x14:cfRule type="expression" priority="56" id="{FF5DC154-1E1A-4F62-A266-70B2490DD51C}">
            <xm:f>AND(VLOOKUP(R32,Calendars!$O$1:$U$398,MATCH($X$1,Calendars!$O$1:$U$1,0),FALSE)="",R31=0)</xm:f>
            <x14:dxf>
              <fill>
                <patternFill>
                  <bgColor theme="7" tint="0.79998168889431442"/>
                </patternFill>
              </fill>
            </x14:dxf>
          </x14:cfRule>
          <xm:sqref>R31</xm:sqref>
        </x14:conditionalFormatting>
        <x14:conditionalFormatting xmlns:xm="http://schemas.microsoft.com/office/excel/2006/main">
          <x14:cfRule type="expression" priority="50" id="{092427E1-DDA5-4B38-B516-7C1938FB45BB}">
            <xm:f>VLOOKUP(R32,Calendars!$O$1:$U$398,MATCH($X$1,Calendars!$O$1:$U$1,0),FALSE)="Non Contract"</xm:f>
            <x14:dxf>
              <fill>
                <patternFill patternType="lightDown"/>
              </fill>
              <border>
                <bottom/>
              </border>
            </x14:dxf>
          </x14:cfRule>
          <x14:cfRule type="expression" priority="54" id="{8AB29F2E-2A27-42CB-AF65-8D2AB94EF6CA}">
            <xm:f>VLOOKUP(R32,Calendars!$O$1:$U$398,MATCH($X$1,Calendars!$O$1:$U$1,0),FALSE)="Holiday"</xm:f>
            <x14:dxf>
              <fill>
                <patternFill>
                  <bgColor rgb="FFFF99FF"/>
                </patternFill>
              </fill>
              <border>
                <bottom/>
              </border>
            </x14:dxf>
          </x14:cfRule>
          <xm:sqref>R31</xm:sqref>
        </x14:conditionalFormatting>
        <x14:conditionalFormatting xmlns:xm="http://schemas.microsoft.com/office/excel/2006/main">
          <x14:cfRule type="expression" priority="44" id="{BDB6861E-600A-4B76-B4EE-09FDF4C57C42}">
            <xm:f>AND(VLOOKUP(S32,Calendars!$O$1:$U$398,MATCH($X$1,Calendars!$O$1:$U$1,0),FALSE)="Non Contract",$C$5&gt;0)</xm:f>
            <x14:dxf>
              <fill>
                <patternFill patternType="solid">
                  <fgColor theme="4" tint="0.79998168889431442"/>
                  <bgColor theme="8" tint="0.79995117038483843"/>
                </patternFill>
              </fill>
            </x14:dxf>
          </x14:cfRule>
          <xm:sqref>S31:U31</xm:sqref>
        </x14:conditionalFormatting>
        <x14:conditionalFormatting xmlns:xm="http://schemas.microsoft.com/office/excel/2006/main">
          <x14:cfRule type="expression" priority="49" id="{2314DCFF-3EC7-44DF-A0D3-9A953B9A1616}">
            <xm:f>AND(VLOOKUP(S32,Calendars!$O$1:$U$398,MATCH($X$1,Calendars!$O$1:$U$1,0),FALSE)="",S31=0)</xm:f>
            <x14:dxf>
              <fill>
                <patternFill>
                  <bgColor theme="7" tint="0.79998168889431442"/>
                </patternFill>
              </fill>
            </x14:dxf>
          </x14:cfRule>
          <xm:sqref>S31:U31</xm:sqref>
        </x14:conditionalFormatting>
        <x14:conditionalFormatting xmlns:xm="http://schemas.microsoft.com/office/excel/2006/main">
          <x14:cfRule type="expression" priority="43" id="{494D624A-5B43-45E5-92DB-5720E9160B4E}">
            <xm:f>VLOOKUP(S32,Calendars!$O$1:$U$398,MATCH($X$1,Calendars!$O$1:$U$1,0),FALSE)="Non Contract"</xm:f>
            <x14:dxf>
              <fill>
                <patternFill patternType="lightDown"/>
              </fill>
              <border>
                <bottom/>
              </border>
            </x14:dxf>
          </x14:cfRule>
          <x14:cfRule type="expression" priority="47" id="{2AF4A78B-3505-4EAD-BE76-33D5DAC91D79}">
            <xm:f>VLOOKUP(S32,Calendars!$O$1:$U$398,MATCH($X$1,Calendars!$O$1:$U$1,0),FALSE)="Holiday"</xm:f>
            <x14:dxf>
              <fill>
                <patternFill>
                  <bgColor rgb="FFFF99FF"/>
                </patternFill>
              </fill>
              <border>
                <bottom/>
              </border>
            </x14:dxf>
          </x14:cfRule>
          <xm:sqref>S31:U31</xm:sqref>
        </x14:conditionalFormatting>
        <x14:conditionalFormatting xmlns:xm="http://schemas.microsoft.com/office/excel/2006/main">
          <x14:cfRule type="expression" priority="37" id="{300B31C9-CB25-4272-AF32-A4BB2BD82531}">
            <xm:f>AND(VLOOKUP(Q34,Calendars!$O$1:$U$398,MATCH($X$1,Calendars!$O$1:$U$1,0),FALSE)="Non Contract",$C$5&gt;0)</xm:f>
            <x14:dxf>
              <fill>
                <patternFill patternType="solid">
                  <fgColor theme="4" tint="0.79998168889431442"/>
                  <bgColor theme="8" tint="0.79995117038483843"/>
                </patternFill>
              </fill>
            </x14:dxf>
          </x14:cfRule>
          <xm:sqref>Q33</xm:sqref>
        </x14:conditionalFormatting>
        <x14:conditionalFormatting xmlns:xm="http://schemas.microsoft.com/office/excel/2006/main">
          <x14:cfRule type="expression" priority="42" id="{DBE772CA-C632-4121-9CFD-2D4C31BF5E0A}">
            <xm:f>AND(VLOOKUP(Q34,Calendars!$O$1:$U$398,MATCH($X$1,Calendars!$O$1:$U$1,0),FALSE)="",Q33=0)</xm:f>
            <x14:dxf>
              <fill>
                <patternFill>
                  <bgColor theme="7" tint="0.79998168889431442"/>
                </patternFill>
              </fill>
            </x14:dxf>
          </x14:cfRule>
          <xm:sqref>Q33</xm:sqref>
        </x14:conditionalFormatting>
        <x14:conditionalFormatting xmlns:xm="http://schemas.microsoft.com/office/excel/2006/main">
          <x14:cfRule type="expression" priority="36" id="{605CE24C-5EB2-4D87-A1A6-145A232841E6}">
            <xm:f>VLOOKUP(Q34,Calendars!$O$1:$U$398,MATCH($X$1,Calendars!$O$1:$U$1,0),FALSE)="Non Contract"</xm:f>
            <x14:dxf>
              <fill>
                <patternFill patternType="lightDown"/>
              </fill>
              <border>
                <bottom/>
              </border>
            </x14:dxf>
          </x14:cfRule>
          <x14:cfRule type="expression" priority="40" id="{5307CFE4-75FD-43CC-8F8C-B505CDADF3C8}">
            <xm:f>VLOOKUP(Q34,Calendars!$O$1:$U$398,MATCH($X$1,Calendars!$O$1:$U$1,0),FALSE)="Holiday"</xm:f>
            <x14:dxf>
              <fill>
                <patternFill>
                  <bgColor rgb="FFFF99FF"/>
                </patternFill>
              </fill>
              <border>
                <bottom/>
              </border>
            </x14:dxf>
          </x14:cfRule>
          <xm:sqref>Q33</xm:sqref>
        </x14:conditionalFormatting>
        <x14:conditionalFormatting xmlns:xm="http://schemas.microsoft.com/office/excel/2006/main">
          <x14:cfRule type="expression" priority="30" id="{637E89C9-2CD9-4625-9CFD-07D107DF5A9A}">
            <xm:f>AND(VLOOKUP(R34,Calendars!$O$1:$U$398,MATCH($X$1,Calendars!$O$1:$U$1,0),FALSE)="Non Contract",$C$5&gt;0)</xm:f>
            <x14:dxf>
              <fill>
                <patternFill patternType="solid">
                  <fgColor theme="4" tint="0.79998168889431442"/>
                  <bgColor theme="8" tint="0.79995117038483843"/>
                </patternFill>
              </fill>
            </x14:dxf>
          </x14:cfRule>
          <xm:sqref>R33</xm:sqref>
        </x14:conditionalFormatting>
        <x14:conditionalFormatting xmlns:xm="http://schemas.microsoft.com/office/excel/2006/main">
          <x14:cfRule type="expression" priority="35" id="{D804E060-EA9C-4629-91F7-AB820BF4588F}">
            <xm:f>AND(VLOOKUP(R34,Calendars!$O$1:$U$398,MATCH($X$1,Calendars!$O$1:$U$1,0),FALSE)="",R33=0)</xm:f>
            <x14:dxf>
              <fill>
                <patternFill>
                  <bgColor theme="7" tint="0.79998168889431442"/>
                </patternFill>
              </fill>
            </x14:dxf>
          </x14:cfRule>
          <xm:sqref>R33</xm:sqref>
        </x14:conditionalFormatting>
        <x14:conditionalFormatting xmlns:xm="http://schemas.microsoft.com/office/excel/2006/main">
          <x14:cfRule type="expression" priority="29" id="{6A6ED6DE-B485-4CF3-9E20-CB853007F3E4}">
            <xm:f>VLOOKUP(R34,Calendars!$O$1:$U$398,MATCH($X$1,Calendars!$O$1:$U$1,0),FALSE)="Non Contract"</xm:f>
            <x14:dxf>
              <fill>
                <patternFill patternType="lightDown"/>
              </fill>
              <border>
                <bottom/>
              </border>
            </x14:dxf>
          </x14:cfRule>
          <x14:cfRule type="expression" priority="33" id="{45B789B2-E3F3-4EF5-B3E8-2CE40543C0C0}">
            <xm:f>VLOOKUP(R34,Calendars!$O$1:$U$398,MATCH($X$1,Calendars!$O$1:$U$1,0),FALSE)="Holiday"</xm:f>
            <x14:dxf>
              <fill>
                <patternFill>
                  <bgColor rgb="FFFF99FF"/>
                </patternFill>
              </fill>
              <border>
                <bottom/>
              </border>
            </x14:dxf>
          </x14:cfRule>
          <xm:sqref>R33</xm:sqref>
        </x14:conditionalFormatting>
        <x14:conditionalFormatting xmlns:xm="http://schemas.microsoft.com/office/excel/2006/main">
          <x14:cfRule type="expression" priority="23" id="{B69399EF-C343-4A70-82F0-E95F408F690E}">
            <xm:f>AND(VLOOKUP(S34,Calendars!$O$1:$U$398,MATCH($X$1,Calendars!$O$1:$U$1,0),FALSE)="Non Contract",$C$5&gt;0)</xm:f>
            <x14:dxf>
              <fill>
                <patternFill patternType="solid">
                  <fgColor theme="4" tint="0.79998168889431442"/>
                  <bgColor theme="8" tint="0.79995117038483843"/>
                </patternFill>
              </fill>
            </x14:dxf>
          </x14:cfRule>
          <xm:sqref>S33:U33</xm:sqref>
        </x14:conditionalFormatting>
        <x14:conditionalFormatting xmlns:xm="http://schemas.microsoft.com/office/excel/2006/main">
          <x14:cfRule type="expression" priority="28" id="{7C64F9A4-1015-4166-BE9F-19C625F42E53}">
            <xm:f>AND(VLOOKUP(S34,Calendars!$O$1:$U$398,MATCH($X$1,Calendars!$O$1:$U$1,0),FALSE)="",S33=0)</xm:f>
            <x14:dxf>
              <fill>
                <patternFill>
                  <bgColor theme="7" tint="0.79998168889431442"/>
                </patternFill>
              </fill>
            </x14:dxf>
          </x14:cfRule>
          <xm:sqref>S33:U33</xm:sqref>
        </x14:conditionalFormatting>
        <x14:conditionalFormatting xmlns:xm="http://schemas.microsoft.com/office/excel/2006/main">
          <x14:cfRule type="expression" priority="22" id="{B60030DE-31DB-4CB0-AB3D-49CCEE85D56C}">
            <xm:f>VLOOKUP(S34,Calendars!$O$1:$U$398,MATCH($X$1,Calendars!$O$1:$U$1,0),FALSE)="Non Contract"</xm:f>
            <x14:dxf>
              <fill>
                <patternFill patternType="lightDown"/>
              </fill>
              <border>
                <bottom/>
              </border>
            </x14:dxf>
          </x14:cfRule>
          <x14:cfRule type="expression" priority="26" id="{399E267D-3BC8-42C3-BF41-984D95E86A70}">
            <xm:f>VLOOKUP(S34,Calendars!$O$1:$U$398,MATCH($X$1,Calendars!$O$1:$U$1,0),FALSE)="Holiday"</xm:f>
            <x14:dxf>
              <fill>
                <patternFill>
                  <bgColor rgb="FFFF99FF"/>
                </patternFill>
              </fill>
              <border>
                <bottom/>
              </border>
            </x14:dxf>
          </x14:cfRule>
          <xm:sqref>S33:U33</xm:sqref>
        </x14:conditionalFormatting>
        <x14:conditionalFormatting xmlns:xm="http://schemas.microsoft.com/office/excel/2006/main">
          <x14:cfRule type="expression" priority="16" id="{D4333CAD-A59A-4938-891C-8CFE54A2638A}">
            <xm:f>AND(VLOOKUP(Q36,Calendars!$O$1:$U$398,MATCH($X$1,Calendars!$O$1:$U$1,0),FALSE)="Non Contract",$C$5&gt;0)</xm:f>
            <x14:dxf>
              <fill>
                <patternFill patternType="solid">
                  <fgColor theme="4" tint="0.79998168889431442"/>
                  <bgColor theme="8" tint="0.79995117038483843"/>
                </patternFill>
              </fill>
            </x14:dxf>
          </x14:cfRule>
          <xm:sqref>Q35</xm:sqref>
        </x14:conditionalFormatting>
        <x14:conditionalFormatting xmlns:xm="http://schemas.microsoft.com/office/excel/2006/main">
          <x14:cfRule type="expression" priority="21" id="{B0FC1E51-6EC9-4453-9E3D-1F39ECB9983C}">
            <xm:f>AND(VLOOKUP(Q36,Calendars!$O$1:$U$398,MATCH($X$1,Calendars!$O$1:$U$1,0),FALSE)="",Q35=0)</xm:f>
            <x14:dxf>
              <fill>
                <patternFill>
                  <bgColor theme="7" tint="0.79998168889431442"/>
                </patternFill>
              </fill>
            </x14:dxf>
          </x14:cfRule>
          <xm:sqref>Q35</xm:sqref>
        </x14:conditionalFormatting>
        <x14:conditionalFormatting xmlns:xm="http://schemas.microsoft.com/office/excel/2006/main">
          <x14:cfRule type="expression" priority="15" id="{4C22AC57-F44A-4C8F-AEF6-2B5960A9D386}">
            <xm:f>VLOOKUP(Q36,Calendars!$O$1:$U$398,MATCH($X$1,Calendars!$O$1:$U$1,0),FALSE)="Non Contract"</xm:f>
            <x14:dxf>
              <fill>
                <patternFill patternType="lightDown"/>
              </fill>
              <border>
                <bottom/>
              </border>
            </x14:dxf>
          </x14:cfRule>
          <x14:cfRule type="expression" priority="19" id="{542F38C8-BE17-4836-B8A7-153EE9EC0829}">
            <xm:f>VLOOKUP(Q36,Calendars!$O$1:$U$398,MATCH($X$1,Calendars!$O$1:$U$1,0),FALSE)="Holiday"</xm:f>
            <x14:dxf>
              <fill>
                <patternFill>
                  <bgColor rgb="FFFF99FF"/>
                </patternFill>
              </fill>
              <border>
                <bottom/>
              </border>
            </x14:dxf>
          </x14:cfRule>
          <xm:sqref>Q35</xm:sqref>
        </x14:conditionalFormatting>
        <x14:conditionalFormatting xmlns:xm="http://schemas.microsoft.com/office/excel/2006/main">
          <x14:cfRule type="expression" priority="9" id="{2C4A4208-38AC-49BC-B58B-D6EE9387685F}">
            <xm:f>AND(VLOOKUP(R36,Calendars!$O$1:$U$398,MATCH($X$1,Calendars!$O$1:$U$1,0),FALSE)="Non Contract",$C$5&gt;0)</xm:f>
            <x14:dxf>
              <fill>
                <patternFill patternType="solid">
                  <fgColor theme="4" tint="0.79998168889431442"/>
                  <bgColor theme="8" tint="0.79995117038483843"/>
                </patternFill>
              </fill>
            </x14:dxf>
          </x14:cfRule>
          <xm:sqref>R35</xm:sqref>
        </x14:conditionalFormatting>
        <x14:conditionalFormatting xmlns:xm="http://schemas.microsoft.com/office/excel/2006/main">
          <x14:cfRule type="expression" priority="14" id="{0A506D51-DC61-4DBA-BD4D-DF74B5483277}">
            <xm:f>AND(VLOOKUP(R36,Calendars!$O$1:$U$398,MATCH($X$1,Calendars!$O$1:$U$1,0),FALSE)="",R35=0)</xm:f>
            <x14:dxf>
              <fill>
                <patternFill>
                  <bgColor theme="7" tint="0.79998168889431442"/>
                </patternFill>
              </fill>
            </x14:dxf>
          </x14:cfRule>
          <xm:sqref>R35</xm:sqref>
        </x14:conditionalFormatting>
        <x14:conditionalFormatting xmlns:xm="http://schemas.microsoft.com/office/excel/2006/main">
          <x14:cfRule type="expression" priority="8" id="{E193201A-77E3-426B-90BD-2227E5385C18}">
            <xm:f>VLOOKUP(R36,Calendars!$O$1:$U$398,MATCH($X$1,Calendars!$O$1:$U$1,0),FALSE)="Non Contract"</xm:f>
            <x14:dxf>
              <fill>
                <patternFill patternType="lightDown"/>
              </fill>
              <border>
                <bottom/>
              </border>
            </x14:dxf>
          </x14:cfRule>
          <x14:cfRule type="expression" priority="12" id="{C39A7ED6-C18E-442D-B827-7A28E16B3D1A}">
            <xm:f>VLOOKUP(R36,Calendars!$O$1:$U$398,MATCH($X$1,Calendars!$O$1:$U$1,0),FALSE)="Holiday"</xm:f>
            <x14:dxf>
              <fill>
                <patternFill>
                  <bgColor rgb="FFFF99FF"/>
                </patternFill>
              </fill>
              <border>
                <bottom/>
              </border>
            </x14:dxf>
          </x14:cfRule>
          <xm:sqref>R35</xm:sqref>
        </x14:conditionalFormatting>
        <x14:conditionalFormatting xmlns:xm="http://schemas.microsoft.com/office/excel/2006/main">
          <x14:cfRule type="expression" priority="2" id="{D80EE5B0-CA18-4F7B-A751-66AB13A04C76}">
            <xm:f>AND(VLOOKUP(S36,Calendars!$O$1:$U$398,MATCH($X$1,Calendars!$O$1:$U$1,0),FALSE)="Non Contract",$C$5&gt;0)</xm:f>
            <x14:dxf>
              <fill>
                <patternFill patternType="solid">
                  <fgColor theme="4" tint="0.79998168889431442"/>
                  <bgColor theme="8" tint="0.79995117038483843"/>
                </patternFill>
              </fill>
            </x14:dxf>
          </x14:cfRule>
          <xm:sqref>S35:U35</xm:sqref>
        </x14:conditionalFormatting>
        <x14:conditionalFormatting xmlns:xm="http://schemas.microsoft.com/office/excel/2006/main">
          <x14:cfRule type="expression" priority="7" id="{FF8BBBA4-A9AE-49C5-93C4-149D55877783}">
            <xm:f>AND(VLOOKUP(S36,Calendars!$O$1:$U$398,MATCH($X$1,Calendars!$O$1:$U$1,0),FALSE)="",S35=0)</xm:f>
            <x14:dxf>
              <fill>
                <patternFill>
                  <bgColor theme="7" tint="0.79998168889431442"/>
                </patternFill>
              </fill>
            </x14:dxf>
          </x14:cfRule>
          <xm:sqref>S35:U35</xm:sqref>
        </x14:conditionalFormatting>
        <x14:conditionalFormatting xmlns:xm="http://schemas.microsoft.com/office/excel/2006/main">
          <x14:cfRule type="expression" priority="1" id="{7B0FBED5-F451-4CAA-B023-089F75A00679}">
            <xm:f>VLOOKUP(S36,Calendars!$O$1:$U$398,MATCH($X$1,Calendars!$O$1:$U$1,0),FALSE)="Non Contract"</xm:f>
            <x14:dxf>
              <fill>
                <patternFill patternType="lightDown"/>
              </fill>
              <border>
                <bottom/>
              </border>
            </x14:dxf>
          </x14:cfRule>
          <x14:cfRule type="expression" priority="5" id="{4FD7B264-E722-4A5F-9044-8A53301C1BBD}">
            <xm:f>VLOOKUP(S36,Calendars!$O$1:$U$398,MATCH($X$1,Calendars!$O$1:$U$1,0),FALSE)="Holiday"</xm:f>
            <x14:dxf>
              <fill>
                <patternFill>
                  <bgColor rgb="FFFF99FF"/>
                </patternFill>
              </fill>
              <border>
                <bottom/>
              </border>
            </x14:dxf>
          </x14:cfRule>
          <xm:sqref>S35:U35</xm:sqref>
        </x14:conditionalFormatting>
        <x14:conditionalFormatting xmlns:xm="http://schemas.microsoft.com/office/excel/2006/main">
          <x14:cfRule type="expression" priority="106" id="{ED317335-09AB-42EF-AC40-DB822D3463CD}">
            <xm:f>VLOOKUP(Q28,Calendars!$V$1:$AB$398,MATCH($X$1,Calendars!$V$1:$AB$1,0),FALSE)="MPTC"</xm:f>
            <x14:dxf>
              <fill>
                <patternFill>
                  <bgColor theme="5" tint="0.39994506668294322"/>
                </patternFill>
              </fill>
            </x14:dxf>
          </x14:cfRule>
          <x14:cfRule type="expression" priority="107" id="{1E184BB0-B91E-43BA-96E4-C00A7FD95F10}">
            <xm:f>VLOOKUP(Q28,Calendars!$V$1:$AB$398,MATCH($X$1,Calendars!$V$1:$AB$1,0),FALSE)="PTC"</xm:f>
            <x14:dxf>
              <fill>
                <patternFill>
                  <bgColor theme="5" tint="-0.24994659260841701"/>
                </patternFill>
              </fill>
            </x14:dxf>
          </x14:cfRule>
          <x14:cfRule type="expression" priority="108" id="{6B6CA3B0-CB44-498E-AB10-AF7EBFFC134F}">
            <xm:f>VLOOKUP(Q28,Calendars!$V$1:$AB$398,MATCH($X$1,Calendars!$V$1:$AB$1,0),FALSE)="PD"</xm:f>
            <x14:dxf>
              <fill>
                <patternFill>
                  <bgColor rgb="FF0070C0"/>
                </patternFill>
              </fill>
            </x14:dxf>
          </x14:cfRule>
          <x14:cfRule type="expression" priority="109" id="{EC45E724-2554-49A6-9122-6E85369DE9AE}">
            <xm:f>VLOOKUP(Q28,Calendars!$O$1:$U$398,MATCH($X$1,Calendars!$O$1:$U$1,0),FALSE)="Non Contract"</xm:f>
            <x14:dxf>
              <fill>
                <patternFill patternType="lightDown"/>
              </fill>
            </x14:dxf>
          </x14:cfRule>
          <x14:cfRule type="expression" priority="110" id="{FDEC4B91-1477-41E3-8F11-457F87DBFABF}">
            <xm:f>VLOOKUP(Q28,Calendars!$O$1:$U$398,MATCH($X$1,Calendars!$O$1:$U$1,0),FALSE)="Holiday"</xm:f>
            <x14:dxf>
              <fill>
                <patternFill>
                  <bgColor rgb="FFFF99FF"/>
                </patternFill>
              </fill>
            </x14:dxf>
          </x14:cfRule>
          <xm:sqref>Q28:U28 Q30:U30 Q32:U32 Q34:U34 Q36:U36</xm:sqref>
        </x14:conditionalFormatting>
      </x14:conditionalFormattings>
    </ext>
    <ext xmlns:x14="http://schemas.microsoft.com/office/spreadsheetml/2009/9/main" uri="{CCE6A557-97BC-4b89-ADB6-D9C93CAAB3DF}">
      <x14:dataValidations xmlns:xm="http://schemas.microsoft.com/office/excel/2006/main" xWindow="234" yWindow="491" count="2">
        <x14:dataValidation type="list" allowBlank="1" showInputMessage="1" showErrorMessage="1" promptTitle="Contract Days" prompt="Year Round = 179_x000a_Traditional = 187" xr:uid="{00000000-0002-0000-0100-000007000000}">
          <x14:formula1>
            <xm:f>Calendars!$Q$1:$U$1</xm:f>
          </x14:formula1>
          <xm:sqref>X1:Y1</xm:sqref>
        </x14:dataValidation>
        <x14:dataValidation type="list" allowBlank="1" showInputMessage="1" showErrorMessage="1" xr:uid="{00000000-0002-0000-0100-000008000000}">
          <x14:formula1>
            <xm:f>Calendars!$AM$2:$AM$115</xm:f>
          </x14:formula1>
          <xm:sqref>D2:I2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O55"/>
  <sheetViews>
    <sheetView showGridLines="0" view="pageLayout" zoomScale="75" zoomScaleNormal="100" zoomScalePageLayoutView="75" workbookViewId="0">
      <selection activeCell="D1" sqref="D1:L1"/>
    </sheetView>
  </sheetViews>
  <sheetFormatPr defaultColWidth="5.5703125" defaultRowHeight="15" x14ac:dyDescent="0.25"/>
  <cols>
    <col min="1" max="1" width="9.85546875" customWidth="1"/>
    <col min="2" max="4" width="7.140625" customWidth="1"/>
    <col min="5" max="5" width="6.85546875" customWidth="1"/>
    <col min="6" max="29" width="7.140625" customWidth="1"/>
    <col min="30" max="30" width="9.85546875" customWidth="1"/>
  </cols>
  <sheetData>
    <row r="1" spans="1:34" ht="39" customHeight="1" x14ac:dyDescent="0.3">
      <c r="A1" s="34"/>
      <c r="B1" s="286" t="s">
        <v>49</v>
      </c>
      <c r="C1" s="286"/>
      <c r="D1" s="288"/>
      <c r="E1" s="288"/>
      <c r="F1" s="288"/>
      <c r="G1" s="288"/>
      <c r="H1" s="288"/>
      <c r="I1" s="288"/>
      <c r="J1" s="288"/>
      <c r="K1" s="288"/>
      <c r="L1" s="288"/>
      <c r="M1" s="12"/>
      <c r="N1" s="29" t="s">
        <v>0</v>
      </c>
      <c r="O1" s="290">
        <f>'Teacher A'!O1</f>
        <v>0</v>
      </c>
      <c r="P1" s="290"/>
      <c r="Q1" s="12"/>
      <c r="R1" s="115"/>
      <c r="S1" s="296"/>
      <c r="T1" s="296"/>
      <c r="U1" s="62" t="e">
        <f>VLOOKUP(S1,#REF!,2,FALSE)</f>
        <v>#REF!</v>
      </c>
      <c r="V1" s="286" t="s">
        <v>55</v>
      </c>
      <c r="W1" s="286"/>
      <c r="X1" s="253">
        <f>'Teacher A'!X1:Y1</f>
        <v>0</v>
      </c>
      <c r="Y1" s="253"/>
      <c r="Z1" s="12"/>
      <c r="AA1" s="255" t="s">
        <v>74</v>
      </c>
      <c r="AB1" s="255"/>
      <c r="AC1" s="240" t="s">
        <v>68</v>
      </c>
      <c r="AD1" s="240"/>
    </row>
    <row r="2" spans="1:34" ht="34.5" customHeight="1" x14ac:dyDescent="0.3">
      <c r="A2" s="34"/>
      <c r="B2" s="286" t="s">
        <v>161</v>
      </c>
      <c r="C2" s="286"/>
      <c r="D2" s="297"/>
      <c r="E2" s="297"/>
      <c r="F2" s="297"/>
      <c r="G2" s="297"/>
      <c r="H2" s="297"/>
      <c r="I2" s="297"/>
      <c r="J2" s="289" t="s">
        <v>163</v>
      </c>
      <c r="K2" s="289"/>
      <c r="L2" s="173"/>
      <c r="M2" s="256" t="s">
        <v>162</v>
      </c>
      <c r="N2" s="256"/>
      <c r="O2" s="288"/>
      <c r="P2" s="288"/>
      <c r="Q2" s="288"/>
      <c r="R2" s="288"/>
      <c r="S2" s="288"/>
      <c r="T2" s="288"/>
      <c r="U2" s="291" t="s">
        <v>164</v>
      </c>
      <c r="V2" s="291"/>
      <c r="W2" s="291"/>
      <c r="X2" s="252" t="e">
        <f>ROUNDUP(SUM(HLOOKUP(X1,Calendars!$R$1:$Y$2,2,FALSE)*L2),1)</f>
        <v>#N/A</v>
      </c>
      <c r="Y2" s="252"/>
      <c r="Z2" s="12"/>
      <c r="AA2" s="12"/>
      <c r="AB2" s="12"/>
      <c r="AD2" s="12"/>
    </row>
    <row r="3" spans="1:34" ht="15.75" x14ac:dyDescent="0.25">
      <c r="A3" s="30"/>
      <c r="B3" s="172"/>
      <c r="C3" s="172"/>
      <c r="D3" s="172"/>
      <c r="E3" s="172"/>
      <c r="F3" s="172"/>
      <c r="G3" s="172"/>
      <c r="H3" s="36"/>
      <c r="I3" s="172"/>
      <c r="J3" s="172"/>
      <c r="K3" s="172"/>
      <c r="L3" s="172"/>
      <c r="M3" s="172"/>
      <c r="N3" s="172"/>
      <c r="O3" s="172"/>
      <c r="P3" s="172"/>
      <c r="Q3" s="172"/>
      <c r="R3" s="172"/>
      <c r="S3" s="172"/>
      <c r="T3" s="172"/>
      <c r="U3" s="172"/>
      <c r="V3" s="172"/>
      <c r="W3" s="172"/>
      <c r="X3" s="172"/>
      <c r="Y3" s="172"/>
      <c r="Z3" s="12"/>
      <c r="AA3" s="12"/>
      <c r="AB3" s="12"/>
      <c r="AC3" s="12"/>
      <c r="AD3" s="12"/>
    </row>
    <row r="4" spans="1:34" ht="15.75" thickBot="1" x14ac:dyDescent="0.3">
      <c r="A4" s="31"/>
      <c r="B4" s="31"/>
      <c r="C4" s="31" t="s">
        <v>1</v>
      </c>
      <c r="D4" s="31" t="s">
        <v>2</v>
      </c>
      <c r="E4" s="31" t="s">
        <v>3</v>
      </c>
      <c r="F4" s="31" t="s">
        <v>4</v>
      </c>
      <c r="G4" s="31" t="s">
        <v>5</v>
      </c>
      <c r="H4" s="31"/>
      <c r="I4" s="31"/>
      <c r="J4" s="31" t="s">
        <v>1</v>
      </c>
      <c r="K4" s="31" t="s">
        <v>2</v>
      </c>
      <c r="L4" s="31" t="s">
        <v>3</v>
      </c>
      <c r="M4" s="31" t="s">
        <v>4</v>
      </c>
      <c r="N4" s="31" t="s">
        <v>5</v>
      </c>
      <c r="O4" s="31"/>
      <c r="P4" s="31"/>
      <c r="Q4" s="31" t="s">
        <v>1</v>
      </c>
      <c r="R4" s="31" t="s">
        <v>2</v>
      </c>
      <c r="S4" s="31" t="s">
        <v>3</v>
      </c>
      <c r="T4" s="31" t="s">
        <v>4</v>
      </c>
      <c r="U4" s="31" t="s">
        <v>5</v>
      </c>
      <c r="V4" s="31"/>
      <c r="W4" s="31"/>
      <c r="X4" s="31" t="s">
        <v>1</v>
      </c>
      <c r="Y4" s="31" t="s">
        <v>2</v>
      </c>
      <c r="Z4" s="31" t="s">
        <v>3</v>
      </c>
      <c r="AA4" s="31" t="s">
        <v>4</v>
      </c>
      <c r="AB4" s="31" t="s">
        <v>5</v>
      </c>
      <c r="AC4" s="17"/>
      <c r="AD4" s="12"/>
    </row>
    <row r="5" spans="1:34" ht="16.5" customHeight="1" x14ac:dyDescent="0.25">
      <c r="A5" s="25"/>
      <c r="B5" s="292" t="s">
        <v>6</v>
      </c>
      <c r="C5" s="162"/>
      <c r="D5" s="163"/>
      <c r="E5" s="163"/>
      <c r="F5" s="163"/>
      <c r="G5" s="164"/>
      <c r="H5" s="28"/>
      <c r="I5" s="257" t="s">
        <v>7</v>
      </c>
      <c r="J5" s="162"/>
      <c r="K5" s="163"/>
      <c r="L5" s="163"/>
      <c r="M5" s="163"/>
      <c r="N5" s="164"/>
      <c r="O5" s="26"/>
      <c r="P5" s="260" t="s">
        <v>8</v>
      </c>
      <c r="Q5" s="162"/>
      <c r="R5" s="163"/>
      <c r="S5" s="163"/>
      <c r="T5" s="163"/>
      <c r="U5" s="164"/>
      <c r="V5" s="26"/>
      <c r="W5" s="241" t="s">
        <v>9</v>
      </c>
      <c r="X5" s="162"/>
      <c r="Y5" s="163"/>
      <c r="Z5" s="163"/>
      <c r="AA5" s="163"/>
      <c r="AB5" s="164"/>
      <c r="AC5" s="35"/>
      <c r="AD5" s="12"/>
    </row>
    <row r="6" spans="1:34" x14ac:dyDescent="0.25">
      <c r="A6" s="17"/>
      <c r="B6" s="293"/>
      <c r="C6" s="88">
        <f>IF(AND(YEAR(July1OffSet+2)=BegCalYear,MONTH(July1OffSet+2)=7),July1OffSet+2,"")</f>
        <v>45474</v>
      </c>
      <c r="D6" s="168">
        <f>IF(AND(YEAR(July1OffSet+3)=BegCalYear,MONTH(July1OffSet+3)=7),July1OffSet+3,"")</f>
        <v>45475</v>
      </c>
      <c r="E6" s="168">
        <f>IF(AND(YEAR(July1OffSet+4)=BegCalYear,MONTH(July1OffSet+4)=7),July1OffSet+4,"")</f>
        <v>45476</v>
      </c>
      <c r="F6" s="168">
        <f>IF(AND(YEAR(July1OffSet+5)=BegCalYear,MONTH(July1OffSet+5)=7),July1OffSet+5,"")</f>
        <v>45477</v>
      </c>
      <c r="G6" s="169">
        <f>IF(AND(YEAR(July1OffSet+6)=BegCalYear,MONTH(July1OffSet+6)=7),July1OffSet+6,"")</f>
        <v>45478</v>
      </c>
      <c r="H6" s="76"/>
      <c r="I6" s="258"/>
      <c r="J6" s="88" t="str">
        <f>IF(AND(YEAR(OctOffSet+2)=BegCalYear,MONTH(OctOffSet+2)=10),OctOffSet+2,"")</f>
        <v/>
      </c>
      <c r="K6" s="168">
        <f>IF(AND(YEAR(OctOffSet+3)=BegCalYear,MONTH(OctOffSet+3)=10),OctOffSet+3,"")</f>
        <v>45566</v>
      </c>
      <c r="L6" s="168">
        <f>IF(AND(YEAR(OctOffSet+4)=BegCalYear,MONTH(OctOffSet+4)=10),OctOffSet+4,"")</f>
        <v>45567</v>
      </c>
      <c r="M6" s="168">
        <f>IF(AND(YEAR(OctOffSet+5)=BegCalYear,MONTH(OctOffSet+5)=10),OctOffSet+5,"")</f>
        <v>45568</v>
      </c>
      <c r="N6" s="169">
        <f>IF(AND(YEAR(OctOffSet+6)=BegCalYear,MONTH(OctOffSet+6)=10),OctOffSet+6,"")</f>
        <v>45569</v>
      </c>
      <c r="O6" s="26"/>
      <c r="P6" s="261"/>
      <c r="Q6" s="88" t="str">
        <f>IF(AND(YEAR(JanOffSet+2)=CalendarYear,MONTH(JanOffSet+2)=1),JanOffSet+2,"")</f>
        <v/>
      </c>
      <c r="R6" s="168" t="str">
        <f>IF(AND(YEAR(JanOffSet+3)=CalendarYear,MONTH(JanOffSet+3)=1),JanOffSet+3,"")</f>
        <v/>
      </c>
      <c r="S6" s="168">
        <f>IF(AND(YEAR(JanOffSet+4)=CalendarYear,MONTH(JanOffSet+4)=1),JanOffSet+4,"")</f>
        <v>45658</v>
      </c>
      <c r="T6" s="168">
        <f>IF(AND(YEAR(JanOffSet+5)=CalendarYear,MONTH(JanOffSet+5)=1),JanOffSet+5,"")</f>
        <v>45659</v>
      </c>
      <c r="U6" s="169">
        <f>IF(AND(YEAR(JanOffSet+6)=CalendarYear,MONTH(JanOffSet+6)=1),JanOffSet+6,"")</f>
        <v>45660</v>
      </c>
      <c r="V6" s="26"/>
      <c r="W6" s="242"/>
      <c r="X6" s="88" t="str">
        <f>IF(AND(YEAR(AprOffSet+2)=CalendarYear,MONTH(AprOffSet+2)=4),AprOffSet+2,"")</f>
        <v/>
      </c>
      <c r="Y6" s="168">
        <f>IF(AND(YEAR(AprOffSet+3)=CalendarYear,MONTH(AprOffSet+3)=4),AprOffSet+3,"")</f>
        <v>45748</v>
      </c>
      <c r="Z6" s="168">
        <f>IF(AND(YEAR(AprOffSet+4)=CalendarYear,MONTH(AprOffSet+4)=4),AprOffSet+4,"")</f>
        <v>45749</v>
      </c>
      <c r="AA6" s="168">
        <f>IF(AND(YEAR(AprOffSet+5)=CalendarYear,MONTH(AprOffSet+5)=4),AprOffSet+5,"")</f>
        <v>45750</v>
      </c>
      <c r="AB6" s="169">
        <f>IF(AND(YEAR(AprOffSet+6)=CalendarYear,MONTH(AprOffSet+6)=4),AprOffSet+6,"")</f>
        <v>45751</v>
      </c>
      <c r="AC6" s="35"/>
      <c r="AD6" s="12"/>
    </row>
    <row r="7" spans="1:34" x14ac:dyDescent="0.25">
      <c r="A7" s="26"/>
      <c r="B7" s="293"/>
      <c r="C7" s="165"/>
      <c r="D7" s="166"/>
      <c r="E7" s="166"/>
      <c r="F7" s="166"/>
      <c r="G7" s="167"/>
      <c r="H7" s="76"/>
      <c r="I7" s="258"/>
      <c r="J7" s="165"/>
      <c r="K7" s="166"/>
      <c r="L7" s="166"/>
      <c r="M7" s="166"/>
      <c r="N7" s="167"/>
      <c r="O7" s="26"/>
      <c r="P7" s="261"/>
      <c r="Q7" s="165"/>
      <c r="R7" s="166"/>
      <c r="S7" s="166"/>
      <c r="T7" s="166"/>
      <c r="U7" s="167"/>
      <c r="V7" s="26"/>
      <c r="W7" s="242"/>
      <c r="X7" s="165"/>
      <c r="Y7" s="166"/>
      <c r="Z7" s="166"/>
      <c r="AA7" s="166"/>
      <c r="AB7" s="167"/>
      <c r="AC7" s="35"/>
      <c r="AD7" s="12"/>
    </row>
    <row r="8" spans="1:34" x14ac:dyDescent="0.25">
      <c r="A8" s="26"/>
      <c r="B8" s="293"/>
      <c r="C8" s="88">
        <f>IF(AND(YEAR(July1OffSet+9)=BegCalYear,MONTH(July1OffSet+9)=7),July1OffSet+9,"")</f>
        <v>45481</v>
      </c>
      <c r="D8" s="168">
        <f>IF(AND(YEAR(July1OffSet+10)=BegCalYear,MONTH(July1OffSet+10)=7),July1OffSet+10,"")</f>
        <v>45482</v>
      </c>
      <c r="E8" s="168">
        <f>IF(AND(YEAR(July1OffSet+11)=BegCalYear,MONTH(July1OffSet+11)=7),July1OffSet+11,"")</f>
        <v>45483</v>
      </c>
      <c r="F8" s="168">
        <f>IF(AND(YEAR(July1OffSet+12)=BegCalYear,MONTH(July1OffSet+12)=7),July1OffSet+12,"")</f>
        <v>45484</v>
      </c>
      <c r="G8" s="169">
        <f>IF(AND(YEAR(July1OffSet+13)=BegCalYear,MONTH(July1OffSet+13)=7),July1OffSet+13,"")</f>
        <v>45485</v>
      </c>
      <c r="H8" s="76"/>
      <c r="I8" s="258"/>
      <c r="J8" s="88">
        <f>IF(AND(YEAR(OctOffSet+9)=BegCalYear,MONTH(OctOffSet+9)=10),OctOffSet+9,"")</f>
        <v>45572</v>
      </c>
      <c r="K8" s="168">
        <f>IF(AND(YEAR(OctOffSet+10)=BegCalYear,MONTH(OctOffSet+10)=10),OctOffSet+10,"")</f>
        <v>45573</v>
      </c>
      <c r="L8" s="168">
        <f>IF(AND(YEAR(OctOffSet+11)=BegCalYear,MONTH(OctOffSet+11)=10),OctOffSet+11,"")</f>
        <v>45574</v>
      </c>
      <c r="M8" s="168">
        <f>IF(AND(YEAR(OctOffSet+12)=BegCalYear,MONTH(OctOffSet+12)=10),OctOffSet+12,"")</f>
        <v>45575</v>
      </c>
      <c r="N8" s="169">
        <f>IF(AND(YEAR(OctOffSet+13)=BegCalYear,MONTH(OctOffSet+13)=10),OctOffSet+13,"")</f>
        <v>45576</v>
      </c>
      <c r="O8" s="26"/>
      <c r="P8" s="261"/>
      <c r="Q8" s="88">
        <f>IF(AND(YEAR(JanOffSet+9)=CalendarYear,MONTH(JanOffSet+9)=1),JanOffSet+9,"")</f>
        <v>45663</v>
      </c>
      <c r="R8" s="168">
        <f>IF(AND(YEAR(JanOffSet+10)=CalendarYear,MONTH(JanOffSet+10)=1),JanOffSet+10,"")</f>
        <v>45664</v>
      </c>
      <c r="S8" s="168">
        <f>IF(AND(YEAR(JanOffSet+11)=CalendarYear,MONTH(JanOffSet+11)=1),JanOffSet+11,"")</f>
        <v>45665</v>
      </c>
      <c r="T8" s="168">
        <f>IF(AND(YEAR(JanOffSet+12)=CalendarYear,MONTH(JanOffSet+12)=1),JanOffSet+12,"")</f>
        <v>45666</v>
      </c>
      <c r="U8" s="169">
        <f>IF(AND(YEAR(JanOffSet+13)=CalendarYear,MONTH(JanOffSet+13)=1),JanOffSet+13,"")</f>
        <v>45667</v>
      </c>
      <c r="V8" s="26"/>
      <c r="W8" s="242"/>
      <c r="X8" s="88">
        <f>IF(AND(YEAR(AprOffSet+9)=CalendarYear,MONTH(AprOffSet+9)=4),AprOffSet+9,"")</f>
        <v>45754</v>
      </c>
      <c r="Y8" s="168">
        <f>IF(AND(YEAR(AprOffSet+10)=CalendarYear,MONTH(AprOffSet+10)=4),AprOffSet+10,"")</f>
        <v>45755</v>
      </c>
      <c r="Z8" s="168">
        <f>IF(AND(YEAR(AprOffSet+11)=CalendarYear,MONTH(AprOffSet+11)=4),AprOffSet+11,"")</f>
        <v>45756</v>
      </c>
      <c r="AA8" s="168">
        <f>IF(AND(YEAR(AprOffSet+12)=CalendarYear,MONTH(AprOffSet+12)=4),AprOffSet+12,"")</f>
        <v>45757</v>
      </c>
      <c r="AB8" s="169">
        <f>IF(AND(YEAR(AprOffSet+13)=CalendarYear,MONTH(AprOffSet+13)=4),AprOffSet+13,"")</f>
        <v>45758</v>
      </c>
      <c r="AC8" s="35"/>
      <c r="AD8" s="12"/>
      <c r="AE8" s="1"/>
      <c r="AF8" s="1"/>
      <c r="AG8" s="1"/>
      <c r="AH8" s="1"/>
    </row>
    <row r="9" spans="1:34" ht="15" customHeight="1" x14ac:dyDescent="0.25">
      <c r="A9" s="25"/>
      <c r="B9" s="293"/>
      <c r="C9" s="165"/>
      <c r="D9" s="166"/>
      <c r="E9" s="166"/>
      <c r="F9" s="166"/>
      <c r="G9" s="167"/>
      <c r="H9" s="76"/>
      <c r="I9" s="258"/>
      <c r="J9" s="165"/>
      <c r="K9" s="166"/>
      <c r="L9" s="166"/>
      <c r="M9" s="166"/>
      <c r="N9" s="167"/>
      <c r="O9" s="28"/>
      <c r="P9" s="261"/>
      <c r="Q9" s="165"/>
      <c r="R9" s="166"/>
      <c r="S9" s="166"/>
      <c r="T9" s="166"/>
      <c r="U9" s="167"/>
      <c r="V9" s="26"/>
      <c r="W9" s="242"/>
      <c r="X9" s="165"/>
      <c r="Y9" s="166"/>
      <c r="Z9" s="166"/>
      <c r="AA9" s="166"/>
      <c r="AB9" s="167"/>
      <c r="AC9" s="35"/>
      <c r="AD9" s="12"/>
    </row>
    <row r="10" spans="1:34" x14ac:dyDescent="0.25">
      <c r="A10" s="19"/>
      <c r="B10" s="293"/>
      <c r="C10" s="88">
        <f>IF(AND(YEAR(July1OffSet+16)=BegCalYear,MONTH(July1OffSet+16)=7),July1OffSet+16,"")</f>
        <v>45488</v>
      </c>
      <c r="D10" s="168">
        <f>IF(AND(YEAR(July1OffSet+17)=BegCalYear,MONTH(July1OffSet+17)=7),July1OffSet+17,"")</f>
        <v>45489</v>
      </c>
      <c r="E10" s="168">
        <f>IF(AND(YEAR(July1OffSet+18)=BegCalYear,MONTH(July1OffSet+18)=7),July1OffSet+18,"")</f>
        <v>45490</v>
      </c>
      <c r="F10" s="168">
        <f>IF(AND(YEAR(July1OffSet+19)=BegCalYear,MONTH(July1OffSet+19)=7),July1OffSet+19,"")</f>
        <v>45491</v>
      </c>
      <c r="G10" s="169">
        <f>IF(AND(YEAR(July1OffSet+20)=BegCalYear,MONTH(July1OffSet+20)=7),July1OffSet+20,"")</f>
        <v>45492</v>
      </c>
      <c r="H10" s="76"/>
      <c r="I10" s="258"/>
      <c r="J10" s="88">
        <f>IF(AND(YEAR(OctOffSet+16)=BegCalYear,MONTH(OctOffSet+16)=10),OctOffSet+16,"")</f>
        <v>45579</v>
      </c>
      <c r="K10" s="168">
        <f>IF(AND(YEAR(OctOffSet+17)=BegCalYear,MONTH(OctOffSet+17)=10),OctOffSet+17,"")</f>
        <v>45580</v>
      </c>
      <c r="L10" s="168">
        <f>IF(AND(YEAR(OctOffSet+18)=BegCalYear,MONTH(OctOffSet+18)=10),OctOffSet+18,"")</f>
        <v>45581</v>
      </c>
      <c r="M10" s="168">
        <f>IF(AND(YEAR(OctOffSet+19)=BegCalYear,MONTH(OctOffSet+19)=10),OctOffSet+19,"")</f>
        <v>45582</v>
      </c>
      <c r="N10" s="169">
        <f>IF(AND(YEAR(OctOffSet+20)=BegCalYear,MONTH(OctOffSet+20)=10),OctOffSet+20,"")</f>
        <v>45583</v>
      </c>
      <c r="O10" s="26"/>
      <c r="P10" s="261"/>
      <c r="Q10" s="88">
        <f>IF(AND(YEAR(JanOffSet+16)=CalendarYear,MONTH(JanOffSet+16)=1),JanOffSet+16,"")</f>
        <v>45670</v>
      </c>
      <c r="R10" s="168">
        <f>IF(AND(YEAR(JanOffSet+17)=CalendarYear,MONTH(JanOffSet+17)=1),JanOffSet+17,"")</f>
        <v>45671</v>
      </c>
      <c r="S10" s="168">
        <f>IF(AND(YEAR(JanOffSet+18)=CalendarYear,MONTH(JanOffSet+18)=1),JanOffSet+18,"")</f>
        <v>45672</v>
      </c>
      <c r="T10" s="168">
        <f>IF(AND(YEAR(JanOffSet+19)=CalendarYear,MONTH(JanOffSet+19)=1),JanOffSet+19,"")</f>
        <v>45673</v>
      </c>
      <c r="U10" s="169">
        <f>IF(AND(YEAR(JanOffSet+20)=CalendarYear,MONTH(JanOffSet+20)=1),JanOffSet+20,"")</f>
        <v>45674</v>
      </c>
      <c r="V10" s="26"/>
      <c r="W10" s="242"/>
      <c r="X10" s="88">
        <f>IF(AND(YEAR(AprOffSet+16)=CalendarYear,MONTH(AprOffSet+16)=4),AprOffSet+16,"")</f>
        <v>45761</v>
      </c>
      <c r="Y10" s="168">
        <f>IF(AND(YEAR(AprOffSet+17)=CalendarYear,MONTH(AprOffSet+17)=4),AprOffSet+17,"")</f>
        <v>45762</v>
      </c>
      <c r="Z10" s="168">
        <f>IF(AND(YEAR(AprOffSet+18)=CalendarYear,MONTH(AprOffSet+18)=4),AprOffSet+18,"")</f>
        <v>45763</v>
      </c>
      <c r="AA10" s="168">
        <f>IF(AND(YEAR(AprOffSet+19)=CalendarYear,MONTH(AprOffSet+19)=4),AprOffSet+19,"")</f>
        <v>45764</v>
      </c>
      <c r="AB10" s="169">
        <f>IF(AND(YEAR(AprOffSet+20)=CalendarYear,MONTH(AprOffSet+20)=4),AprOffSet+20,"")</f>
        <v>45765</v>
      </c>
      <c r="AC10" s="35"/>
      <c r="AD10" s="12"/>
    </row>
    <row r="11" spans="1:34" x14ac:dyDescent="0.25">
      <c r="A11" s="19"/>
      <c r="B11" s="293"/>
      <c r="C11" s="165"/>
      <c r="D11" s="166"/>
      <c r="E11" s="166"/>
      <c r="F11" s="166"/>
      <c r="G11" s="167"/>
      <c r="H11" s="26" t="s">
        <v>10</v>
      </c>
      <c r="I11" s="258"/>
      <c r="J11" s="165"/>
      <c r="K11" s="166"/>
      <c r="L11" s="166"/>
      <c r="M11" s="166"/>
      <c r="N11" s="167"/>
      <c r="O11" s="26" t="s">
        <v>11</v>
      </c>
      <c r="P11" s="261"/>
      <c r="Q11" s="165"/>
      <c r="R11" s="166"/>
      <c r="S11" s="166"/>
      <c r="T11" s="166"/>
      <c r="U11" s="167"/>
      <c r="V11" s="77" t="s">
        <v>12</v>
      </c>
      <c r="W11" s="242"/>
      <c r="X11" s="165"/>
      <c r="Y11" s="166"/>
      <c r="Z11" s="166"/>
      <c r="AA11" s="166"/>
      <c r="AB11" s="167"/>
      <c r="AC11" s="77" t="s">
        <v>13</v>
      </c>
      <c r="AD11" s="12"/>
    </row>
    <row r="12" spans="1:34" x14ac:dyDescent="0.25">
      <c r="A12" s="19"/>
      <c r="B12" s="293"/>
      <c r="C12" s="88">
        <f>IF(AND(YEAR(July1OffSet+23)=BegCalYear,MONTH(July1OffSet+23)=7),July1OffSet+23,"")</f>
        <v>45495</v>
      </c>
      <c r="D12" s="168">
        <f>IF(AND(YEAR(July1OffSet+24)=BegCalYear,MONTH(July1OffSet+24)=7),July1OffSet+24,"")</f>
        <v>45496</v>
      </c>
      <c r="E12" s="168">
        <f>IF(AND(YEAR(July1OffSet+25)=BegCalYear,MONTH(July1OffSet+25)=7),July1OffSet+25,"")</f>
        <v>45497</v>
      </c>
      <c r="F12" s="168">
        <f>IF(AND(YEAR(July1OffSet+26)=BegCalYear,MONTH(July1OffSet+26)=7),July1OffSet+26,"")</f>
        <v>45498</v>
      </c>
      <c r="G12" s="169">
        <f>IF(AND(YEAR(July1OffSet+27)=BegCalYear,MONTH(July1OffSet+27)=7),July1OffSet+27,"")</f>
        <v>45499</v>
      </c>
      <c r="H12" s="26" t="s">
        <v>14</v>
      </c>
      <c r="I12" s="258"/>
      <c r="J12" s="88">
        <f>IF(AND(YEAR(OctOffSet+23)=BegCalYear,MONTH(OctOffSet+23)=10),OctOffSet+23,"")</f>
        <v>45586</v>
      </c>
      <c r="K12" s="168">
        <f>IF(AND(YEAR(OctOffSet+24)=BegCalYear,MONTH(OctOffSet+24)=10),OctOffSet+24,"")</f>
        <v>45587</v>
      </c>
      <c r="L12" s="168">
        <f>IF(AND(YEAR(OctOffSet+25)=BegCalYear,MONTH(OctOffSet+25)=10),OctOffSet+25,"")</f>
        <v>45588</v>
      </c>
      <c r="M12" s="168">
        <f>IF(AND(YEAR(OctOffSet+26)=BegCalYear,MONTH(OctOffSet+26)=10),OctOffSet+26,"")</f>
        <v>45589</v>
      </c>
      <c r="N12" s="169">
        <f>IF(AND(YEAR(OctOffSet+27)=BegCalYear,MONTH(OctOffSet+27)=10),OctOffSet+27,"")</f>
        <v>45590</v>
      </c>
      <c r="O12" s="26" t="s">
        <v>14</v>
      </c>
      <c r="P12" s="261"/>
      <c r="Q12" s="88">
        <f>IF(AND(YEAR(JanOffSet+23)=CalendarYear,MONTH(JanOffSet+23)=1),JanOffSet+23,"")</f>
        <v>45677</v>
      </c>
      <c r="R12" s="168">
        <f>IF(AND(YEAR(JanOffSet+24)=CalendarYear,MONTH(JanOffSet+24)=1),JanOffSet+24,"")</f>
        <v>45678</v>
      </c>
      <c r="S12" s="168">
        <f>IF(AND(YEAR(JanOffSet+25)=CalendarYear,MONTH(JanOffSet+25)=1),JanOffSet+25,"")</f>
        <v>45679</v>
      </c>
      <c r="T12" s="168">
        <f>IF(AND(YEAR(JanOffSet+26)=CalendarYear,MONTH(JanOffSet+26)=1),JanOffSet+26,"")</f>
        <v>45680</v>
      </c>
      <c r="U12" s="169">
        <f>IF(AND(YEAR(JanOffSet+27)=CalendarYear,MONTH(JanOffSet+27)=1),JanOffSet+27,"")</f>
        <v>45681</v>
      </c>
      <c r="V12" s="26" t="s">
        <v>14</v>
      </c>
      <c r="W12" s="242"/>
      <c r="X12" s="88">
        <f>IF(AND(YEAR(AprOffSet+23)=CalendarYear,MONTH(AprOffSet+23)=4),AprOffSet+23,"")</f>
        <v>45768</v>
      </c>
      <c r="Y12" s="168">
        <f>IF(AND(YEAR(AprOffSet+24)=CalendarYear,MONTH(AprOffSet+24)=4),AprOffSet+24,"")</f>
        <v>45769</v>
      </c>
      <c r="Z12" s="168">
        <f>IF(AND(YEAR(AprOffSet+25)=CalendarYear,MONTH(AprOffSet+25)=4),AprOffSet+25,"")</f>
        <v>45770</v>
      </c>
      <c r="AA12" s="168">
        <f>IF(AND(YEAR(AprOffSet+26)=CalendarYear,MONTH(AprOffSet+26)=4),AprOffSet+26,"")</f>
        <v>45771</v>
      </c>
      <c r="AB12" s="169">
        <f>IF(AND(YEAR(AprOffSet+27)=CalendarYear,MONTH(AprOffSet+27)=4),AprOffSet+27,"")</f>
        <v>45772</v>
      </c>
      <c r="AC12" s="26" t="s">
        <v>14</v>
      </c>
      <c r="AD12" s="12"/>
    </row>
    <row r="13" spans="1:34" x14ac:dyDescent="0.25">
      <c r="A13" s="19"/>
      <c r="B13" s="293"/>
      <c r="C13" s="165"/>
      <c r="D13" s="166"/>
      <c r="E13" s="166"/>
      <c r="F13" s="166"/>
      <c r="G13" s="167"/>
      <c r="H13" s="77" t="s">
        <v>15</v>
      </c>
      <c r="I13" s="258"/>
      <c r="J13" s="165"/>
      <c r="K13" s="166"/>
      <c r="L13" s="166"/>
      <c r="M13" s="166"/>
      <c r="N13" s="167"/>
      <c r="O13" s="77" t="s">
        <v>15</v>
      </c>
      <c r="P13" s="261"/>
      <c r="Q13" s="165"/>
      <c r="R13" s="166"/>
      <c r="S13" s="166"/>
      <c r="T13" s="166"/>
      <c r="U13" s="167"/>
      <c r="V13" s="77" t="s">
        <v>15</v>
      </c>
      <c r="W13" s="242"/>
      <c r="X13" s="165"/>
      <c r="Y13" s="166"/>
      <c r="Z13" s="166"/>
      <c r="AA13" s="166"/>
      <c r="AB13" s="167"/>
      <c r="AC13" s="77" t="s">
        <v>15</v>
      </c>
      <c r="AD13" s="12"/>
    </row>
    <row r="14" spans="1:34" ht="15.75" thickBot="1" x14ac:dyDescent="0.3">
      <c r="A14" s="19"/>
      <c r="B14" s="294"/>
      <c r="C14" s="89">
        <f>IF(AND(YEAR(July1OffSet+30)=BegCalYear,MONTH(July1OffSet+30)=7),July1OffSet+30,"")</f>
        <v>45502</v>
      </c>
      <c r="D14" s="96">
        <f>IF(AND(YEAR(July1OffSet+31)=BegCalYear,MONTH(July1OffSet+31)=7),July1OffSet+31,"")</f>
        <v>45503</v>
      </c>
      <c r="E14" s="96">
        <f>IF(AND(YEAR(July1OffSet+32)=BegCalYear,MONTH(July1OffSet+32)=7),July1OffSet+32,"")</f>
        <v>45504</v>
      </c>
      <c r="F14" s="96" t="str">
        <f>IF(AND(YEAR(July1OffSet+33)=BegCalYear,MONTH(July1OffSet+33)=7),July1OffSet+33,"")</f>
        <v/>
      </c>
      <c r="G14" s="90" t="str">
        <f>IF(AND(YEAR(July1OffSet+34)=BegCalYear,MONTH(July1OffSet+34)=7),July1OffSet+34,"")</f>
        <v/>
      </c>
      <c r="H14" s="78">
        <f>ROUNDDOWN(SUM(SUM(C5:G5,C7:G7,C9:G9,C11:G11,C13:G13)/8),1)</f>
        <v>0</v>
      </c>
      <c r="I14" s="259"/>
      <c r="J14" s="89">
        <f>IF(AND(YEAR(OctOffSet+30)=BegCalYear,MONTH(OctOffSet+30)=10),OctOffSet+30,"")</f>
        <v>45593</v>
      </c>
      <c r="K14" s="96">
        <f>IF(AND(YEAR(OctOffSet+31)=BegCalYear,MONTH(OctOffSet+31)=10),OctOffSet+31,"")</f>
        <v>45594</v>
      </c>
      <c r="L14" s="96">
        <f>IF(AND(YEAR(OctOffSet+32)=BegCalYear,MONTH(OctOffSet+32)=10),OctOffSet+32,"")</f>
        <v>45595</v>
      </c>
      <c r="M14" s="96">
        <f>IF(AND(YEAR(OctOffSet+33)=BegCalYear,MONTH(OctOffSet+33)=10),OctOffSet+33,"")</f>
        <v>45596</v>
      </c>
      <c r="N14" s="90" t="str">
        <f>IF(AND(YEAR(OctOffSet+34)=BegCalYear,MONTH(OctOffSet+34)=10),OctOffSet+34,"")</f>
        <v/>
      </c>
      <c r="O14" s="78">
        <f>ROUNDDOWN(SUM(SUM(J5:N5,J7:N7,J9:N9,J11:N11,J13:N13)/8),1)</f>
        <v>0</v>
      </c>
      <c r="P14" s="262"/>
      <c r="Q14" s="89">
        <f>IF(AND(YEAR(JanOffSet+30)=CalendarYear,MONTH(JanOffSet+30)=1),JanOffSet+30,"")</f>
        <v>45684</v>
      </c>
      <c r="R14" s="96">
        <f>IF(AND(YEAR(JanOffSet+31)=CalendarYear,MONTH(JanOffSet+31)=1),JanOffSet+31,"")</f>
        <v>45685</v>
      </c>
      <c r="S14" s="96">
        <f>IF(AND(YEAR(JanOffSet+32)=CalendarYear,MONTH(JanOffSet+32)=1),JanOffSet+32,"")</f>
        <v>45686</v>
      </c>
      <c r="T14" s="96">
        <f>IF(AND(YEAR(JanOffSet+33)=CalendarYear,MONTH(JanOffSet+33)=1),JanOffSet+33,"")</f>
        <v>45687</v>
      </c>
      <c r="U14" s="90">
        <f>IF(AND(YEAR(JanOffSet+34)=CalendarYear,MONTH(JanOffSet+34)=1),JanOffSet+34,"")</f>
        <v>45688</v>
      </c>
      <c r="V14" s="78">
        <f>ROUNDDOWN(SUM(SUM(Q5:U5,Q7:U7,Q9:U9,Q11:U11,Q13:U13)/8),1)</f>
        <v>0</v>
      </c>
      <c r="W14" s="254"/>
      <c r="X14" s="89">
        <f>IF(AND(YEAR(AprOffSet+30)=CalendarYear,MONTH(AprOffSet+30)=4),AprOffSet+30,"")</f>
        <v>45775</v>
      </c>
      <c r="Y14" s="96">
        <f>IF(AND(YEAR(AprOffSet+31)=CalendarYear,MONTH(AprOffSet+31)=4),AprOffSet+31,"")</f>
        <v>45776</v>
      </c>
      <c r="Z14" s="96">
        <f>IF(AND(YEAR(AprOffSet+32)=CalendarYear,MONTH(AprOffSet+32)=4),AprOffSet+32,"")</f>
        <v>45777</v>
      </c>
      <c r="AA14" s="96" t="str">
        <f>IF(AND(YEAR(AprOffSet+33)=CalendarYear,MONTH(AprOffSet+33)=4),AprOffSet+33,"")</f>
        <v/>
      </c>
      <c r="AB14" s="90" t="str">
        <f>IF(AND(YEAR(AprOffSet+34)=CalendarYear,MONTH(AprOffSet+34)=4),AprOffSet+34,"")</f>
        <v/>
      </c>
      <c r="AC14" s="78">
        <f>ROUNDDOWN(SUM(SUM(X5:AB5,X7:AB7,X11:AB11,X13:AB13,X9:AB9)/8),1)</f>
        <v>0</v>
      </c>
      <c r="AD14" s="12"/>
    </row>
    <row r="15" spans="1:34" ht="15.75" thickBot="1" x14ac:dyDescent="0.3">
      <c r="A15" s="19"/>
      <c r="B15" s="17"/>
      <c r="C15" s="26"/>
      <c r="D15" s="26"/>
      <c r="E15" s="26"/>
      <c r="F15" s="26"/>
      <c r="G15" s="26"/>
      <c r="H15" s="77"/>
      <c r="I15" s="25"/>
      <c r="J15" s="26"/>
      <c r="K15" s="26"/>
      <c r="L15" s="26"/>
      <c r="M15" s="26"/>
      <c r="N15" s="26"/>
      <c r="O15" s="77"/>
      <c r="P15" s="25"/>
      <c r="Q15" s="26"/>
      <c r="R15" s="26"/>
      <c r="S15" s="26"/>
      <c r="T15" s="26"/>
      <c r="U15" s="26"/>
      <c r="V15" s="77"/>
      <c r="W15" s="25"/>
      <c r="X15" s="26"/>
      <c r="Y15" s="26"/>
      <c r="Z15" s="26"/>
      <c r="AA15" s="26"/>
      <c r="AB15" s="26"/>
      <c r="AC15" s="77"/>
      <c r="AD15" s="12"/>
    </row>
    <row r="16" spans="1:34" ht="15" customHeight="1" x14ac:dyDescent="0.25">
      <c r="A16" s="19"/>
      <c r="B16" s="269" t="s">
        <v>16</v>
      </c>
      <c r="C16" s="162"/>
      <c r="D16" s="163"/>
      <c r="E16" s="163"/>
      <c r="F16" s="163"/>
      <c r="G16" s="164"/>
      <c r="H16" s="77"/>
      <c r="I16" s="241" t="s">
        <v>17</v>
      </c>
      <c r="J16" s="162"/>
      <c r="K16" s="163"/>
      <c r="L16" s="163"/>
      <c r="M16" s="163"/>
      <c r="N16" s="164"/>
      <c r="O16" s="77"/>
      <c r="P16" s="257" t="s">
        <v>18</v>
      </c>
      <c r="Q16" s="162"/>
      <c r="R16" s="163"/>
      <c r="S16" s="163"/>
      <c r="T16" s="163"/>
      <c r="U16" s="164"/>
      <c r="V16" s="77"/>
      <c r="W16" s="257" t="s">
        <v>19</v>
      </c>
      <c r="X16" s="162"/>
      <c r="Y16" s="163"/>
      <c r="Z16" s="163"/>
      <c r="AA16" s="163"/>
      <c r="AB16" s="164"/>
      <c r="AC16" s="77"/>
      <c r="AD16" s="12"/>
    </row>
    <row r="17" spans="1:30" x14ac:dyDescent="0.25">
      <c r="A17" s="19"/>
      <c r="B17" s="270"/>
      <c r="C17" s="88" t="str">
        <f>IF(AND(YEAR(AugOffSet+2)=BegCalYear,MONTH(AugOffSet+2)=8),AugOffSet+2,"")</f>
        <v/>
      </c>
      <c r="D17" s="168" t="str">
        <f>IF(AND(YEAR(AugOffSet+3)=BegCalYear,MONTH(AugOffSet+3)=8),AugOffSet+3,"")</f>
        <v/>
      </c>
      <c r="E17" s="168" t="str">
        <f>IF(AND(YEAR(AugOffSet+4)=BegCalYear,MONTH(AugOffSet+4)=8),AugOffSet+4,"")</f>
        <v/>
      </c>
      <c r="F17" s="168">
        <f>IF(AND(YEAR(AugOffSet+5)=BegCalYear,MONTH(AugOffSet+5)=8),AugOffSet+5,"")</f>
        <v>45505</v>
      </c>
      <c r="G17" s="169">
        <f>IF(AND(YEAR(AugOffSet+6)=BegCalYear,MONTH(AugOffSet+6)=8),AugOffSet+6,"")</f>
        <v>45506</v>
      </c>
      <c r="H17" s="77"/>
      <c r="I17" s="242"/>
      <c r="J17" s="88"/>
      <c r="K17" s="168" t="str">
        <f>IF(AND(YEAR(NovOffSet+3)=BegCalYear,MONTH(NovOffSet+3)=11),NovOffSet+3,"")</f>
        <v/>
      </c>
      <c r="L17" s="168" t="str">
        <f>IF(AND(YEAR(NovOffSet+4)=BegCalYear,MONTH(NovOffSet+4)=11),NovOffSet+4,"")</f>
        <v/>
      </c>
      <c r="M17" s="168" t="str">
        <f>IF(AND(YEAR(NovOffSet+5)=BegCalYear,MONTH(NovOffSet+5)=11),NovOffSet+5,"")</f>
        <v/>
      </c>
      <c r="N17" s="169">
        <f>IF(AND(YEAR(NovOffSet+6)=BegCalYear,MONTH(NovOffSet+6)=11),NovOffSet+6,"")</f>
        <v>45597</v>
      </c>
      <c r="O17" s="77"/>
      <c r="P17" s="258"/>
      <c r="Q17" s="88" t="str">
        <f>IF(AND(YEAR(FebOffSet+2)=CalendarYear,MONTH(FebOffSet+2)=2),FebOffSet+2,"")</f>
        <v/>
      </c>
      <c r="R17" s="168" t="str">
        <f>IF(AND(YEAR(FebOffSet+3)=CalendarYear,MONTH(FebOffSet+3)=2),FebOffSet+3,"")</f>
        <v/>
      </c>
      <c r="S17" s="168" t="str">
        <f>IF(AND(YEAR(FebOffSet+4)=CalendarYear,MONTH(FebOffSet+4)=2),FebOffSet+4,"")</f>
        <v/>
      </c>
      <c r="T17" s="168" t="str">
        <f>IF(AND(YEAR(FebOffSet+5)=CalendarYear,MONTH(FebOffSet+5)=2),FebOffSet+5,"")</f>
        <v/>
      </c>
      <c r="U17" s="169" t="str">
        <f>IF(AND(YEAR(FebOffSet+6)=CalendarYear,MONTH(FebOffSet+6)=2),FebOffSet+6,"")</f>
        <v/>
      </c>
      <c r="V17" s="77"/>
      <c r="W17" s="258"/>
      <c r="X17" s="88" t="str">
        <f>IF(AND(YEAR(MayOffSet+2)=CalendarYear,MONTH(MayOffSet+2)=5),MayOffSet+2,"")</f>
        <v/>
      </c>
      <c r="Y17" s="168" t="str">
        <f>IF(AND(YEAR(MayOffSet+3)=CalendarYear,MONTH(MayOffSet+3)=5),MayOffSet+3,"")</f>
        <v/>
      </c>
      <c r="Z17" s="168" t="str">
        <f>IF(AND(YEAR(MayOffSet+4)=CalendarYear,MONTH(MayOffSet+4)=5),MayOffSet+4,"")</f>
        <v/>
      </c>
      <c r="AA17" s="168">
        <f>IF(AND(YEAR(MayOffSet+5)=CalendarYear,MONTH(MayOffSet+5)=5),MayOffSet+5,"")</f>
        <v>45778</v>
      </c>
      <c r="AB17" s="169">
        <f>IF(AND(YEAR(MayOffSet+6)=CalendarYear,MONTH(MayOffSet+6)=5),MayOffSet+6,"")</f>
        <v>45779</v>
      </c>
      <c r="AC17" s="77"/>
      <c r="AD17" s="12"/>
    </row>
    <row r="18" spans="1:30" x14ac:dyDescent="0.25">
      <c r="A18" s="19"/>
      <c r="B18" s="270"/>
      <c r="C18" s="165"/>
      <c r="D18" s="166"/>
      <c r="E18" s="166"/>
      <c r="F18" s="166"/>
      <c r="G18" s="167"/>
      <c r="H18" s="77"/>
      <c r="I18" s="242"/>
      <c r="J18" s="165"/>
      <c r="K18" s="166"/>
      <c r="L18" s="166"/>
      <c r="M18" s="166"/>
      <c r="N18" s="167"/>
      <c r="O18" s="77"/>
      <c r="P18" s="258"/>
      <c r="Q18" s="165"/>
      <c r="R18" s="166"/>
      <c r="S18" s="166"/>
      <c r="T18" s="166"/>
      <c r="U18" s="167"/>
      <c r="V18" s="77"/>
      <c r="W18" s="258"/>
      <c r="X18" s="165"/>
      <c r="Y18" s="166"/>
      <c r="Z18" s="166"/>
      <c r="AA18" s="166"/>
      <c r="AB18" s="167"/>
      <c r="AC18" s="77"/>
      <c r="AD18" s="12"/>
    </row>
    <row r="19" spans="1:30" x14ac:dyDescent="0.25">
      <c r="A19" s="19"/>
      <c r="B19" s="270"/>
      <c r="C19" s="88">
        <f>IF(AND(YEAR(AugOffSet+9)=BegCalYear,MONTH(AugOffSet+9)=8),AugOffSet+9,"")</f>
        <v>45509</v>
      </c>
      <c r="D19" s="168">
        <f>IF(AND(YEAR(AugOffSet+10)=BegCalYear,MONTH(AugOffSet+10)=8),AugOffSet+10,"")</f>
        <v>45510</v>
      </c>
      <c r="E19" s="168">
        <f>IF(AND(YEAR(AugOffSet+11)=BegCalYear,MONTH(AugOffSet+11)=8),AugOffSet+11,"")</f>
        <v>45511</v>
      </c>
      <c r="F19" s="168">
        <f>IF(AND(YEAR(AugOffSet+12)=BegCalYear,MONTH(AugOffSet+12)=8),AugOffSet+12,"")</f>
        <v>45512</v>
      </c>
      <c r="G19" s="169">
        <f>IF(AND(YEAR(AugOffSet+13)=BegCalYear,MONTH(AugOffSet+13)=8),AugOffSet+13,"")</f>
        <v>45513</v>
      </c>
      <c r="H19" s="77"/>
      <c r="I19" s="242"/>
      <c r="J19" s="88">
        <f>IF(AND(YEAR(NovOffSet+9)=BegCalYear,MONTH(NovOffSet+9)=11),NovOffSet+9,"")</f>
        <v>45600</v>
      </c>
      <c r="K19" s="168">
        <f>IF(AND(YEAR(NovOffSet+10)=BegCalYear,MONTH(NovOffSet+10)=11),NovOffSet+10,"")</f>
        <v>45601</v>
      </c>
      <c r="L19" s="168">
        <f>IF(AND(YEAR(NovOffSet+11)=BegCalYear,MONTH(NovOffSet+11)=11),NovOffSet+11,"")</f>
        <v>45602</v>
      </c>
      <c r="M19" s="168">
        <f>IF(AND(YEAR(NovOffSet+12)=BegCalYear,MONTH(NovOffSet+12)=11),NovOffSet+12,"")</f>
        <v>45603</v>
      </c>
      <c r="N19" s="169">
        <f>IF(AND(YEAR(NovOffSet+13)=BegCalYear,MONTH(NovOffSet+13)=11),NovOffSet+13,"")</f>
        <v>45604</v>
      </c>
      <c r="O19" s="77"/>
      <c r="P19" s="258"/>
      <c r="Q19" s="88">
        <f>IF(AND(YEAR(FebOffSet+9)=CalendarYear,MONTH(FebOffSet+9)=2),FebOffSet+9,"")</f>
        <v>45691</v>
      </c>
      <c r="R19" s="168">
        <f>IF(AND(YEAR(FebOffSet+10)=CalendarYear,MONTH(FebOffSet+10)=2),FebOffSet+10,"")</f>
        <v>45692</v>
      </c>
      <c r="S19" s="168">
        <f>IF(AND(YEAR(FebOffSet+11)=CalendarYear,MONTH(FebOffSet+11)=2),FebOffSet+11,"")</f>
        <v>45693</v>
      </c>
      <c r="T19" s="168">
        <f>IF(AND(YEAR(FebOffSet+12)=CalendarYear,MONTH(FebOffSet+12)=2),FebOffSet+12,"")</f>
        <v>45694</v>
      </c>
      <c r="U19" s="169">
        <f>IF(AND(YEAR(FebOffSet+13)=CalendarYear,MONTH(FebOffSet+13)=2),FebOffSet+13,"")</f>
        <v>45695</v>
      </c>
      <c r="V19" s="77"/>
      <c r="W19" s="258"/>
      <c r="X19" s="88">
        <f>IF(AND(YEAR(MayOffSet+9)=CalendarYear,MONTH(MayOffSet+9)=5),MayOffSet+9,"")</f>
        <v>45782</v>
      </c>
      <c r="Y19" s="168">
        <f>IF(AND(YEAR(MayOffSet+10)=CalendarYear,MONTH(MayOffSet+10)=5),MayOffSet+10,"")</f>
        <v>45783</v>
      </c>
      <c r="Z19" s="168">
        <f>IF(AND(YEAR(MayOffSet+11)=CalendarYear,MONTH(MayOffSet+11)=5),MayOffSet+11,"")</f>
        <v>45784</v>
      </c>
      <c r="AA19" s="168">
        <f>IF(AND(YEAR(MayOffSet+12)=CalendarYear,MONTH(MayOffSet+12)=5),MayOffSet+12,"")</f>
        <v>45785</v>
      </c>
      <c r="AB19" s="169">
        <f>IF(AND(YEAR(MayOffSet+13)=CalendarYear,MONTH(MayOffSet+13)=5),MayOffSet+13,"")</f>
        <v>45786</v>
      </c>
      <c r="AC19" s="77"/>
      <c r="AD19" s="12"/>
    </row>
    <row r="20" spans="1:30" x14ac:dyDescent="0.25">
      <c r="A20" s="19"/>
      <c r="B20" s="270"/>
      <c r="C20" s="165"/>
      <c r="D20" s="166"/>
      <c r="E20" s="166"/>
      <c r="F20" s="166"/>
      <c r="G20" s="167"/>
      <c r="H20" s="77"/>
      <c r="I20" s="242"/>
      <c r="J20" s="165"/>
      <c r="K20" s="166"/>
      <c r="L20" s="166"/>
      <c r="M20" s="166"/>
      <c r="N20" s="167"/>
      <c r="O20" s="77"/>
      <c r="P20" s="258"/>
      <c r="Q20" s="165"/>
      <c r="R20" s="166"/>
      <c r="S20" s="166"/>
      <c r="T20" s="166"/>
      <c r="U20" s="167"/>
      <c r="V20" s="77"/>
      <c r="W20" s="258"/>
      <c r="X20" s="165"/>
      <c r="Y20" s="166"/>
      <c r="Z20" s="166"/>
      <c r="AA20" s="166"/>
      <c r="AB20" s="167"/>
      <c r="AC20" s="77"/>
      <c r="AD20" s="12"/>
    </row>
    <row r="21" spans="1:30" x14ac:dyDescent="0.25">
      <c r="A21" s="19"/>
      <c r="B21" s="270"/>
      <c r="C21" s="88">
        <f>IF(AND(YEAR(AugOffSet+16)=BegCalYear,MONTH(AugOffSet+16)=8),AugOffSet+16,"")</f>
        <v>45516</v>
      </c>
      <c r="D21" s="168">
        <f>IF(AND(YEAR(AugOffSet+17)=BegCalYear,MONTH(AugOffSet+17)=8),AugOffSet+17,"")</f>
        <v>45517</v>
      </c>
      <c r="E21" s="168">
        <f>IF(AND(YEAR(AugOffSet+18)=BegCalYear,MONTH(AugOffSet+18)=8),AugOffSet+18,"")</f>
        <v>45518</v>
      </c>
      <c r="F21" s="168">
        <f>IF(AND(YEAR(AugOffSet+19)=BegCalYear,MONTH(AugOffSet+19)=8),AugOffSet+19,"")</f>
        <v>45519</v>
      </c>
      <c r="G21" s="169">
        <f>IF(AND(YEAR(AugOffSet+20)=BegCalYear,MONTH(AugOffSet+20)=8),AugOffSet+20,"")</f>
        <v>45520</v>
      </c>
      <c r="H21" s="77"/>
      <c r="I21" s="242"/>
      <c r="J21" s="88">
        <f>IF(AND(YEAR(NovOffSet+16)=BegCalYear,MONTH(NovOffSet+16)=11),NovOffSet+16,"")</f>
        <v>45607</v>
      </c>
      <c r="K21" s="168">
        <f>IF(AND(YEAR(NovOffSet+17)=BegCalYear,MONTH(NovOffSet+17)=11),NovOffSet+17,"")</f>
        <v>45608</v>
      </c>
      <c r="L21" s="168">
        <f>IF(AND(YEAR(NovOffSet+18)=BegCalYear,MONTH(NovOffSet+18)=11),NovOffSet+18,"")</f>
        <v>45609</v>
      </c>
      <c r="M21" s="168">
        <f>IF(AND(YEAR(NovOffSet+19)=BegCalYear,MONTH(NovOffSet+19)=11),NovOffSet+19,"")</f>
        <v>45610</v>
      </c>
      <c r="N21" s="169">
        <f>IF(AND(YEAR(NovOffSet+20)=BegCalYear,MONTH(NovOffSet+20)=11),NovOffSet+20,"")</f>
        <v>45611</v>
      </c>
      <c r="O21" s="77"/>
      <c r="P21" s="258"/>
      <c r="Q21" s="88">
        <f>IF(AND(YEAR(FebOffSet+16)=CalendarYear,MONTH(FebOffSet+16)=2),FebOffSet+16,"")</f>
        <v>45698</v>
      </c>
      <c r="R21" s="168">
        <f>IF(AND(YEAR(FebOffSet+17)=CalendarYear,MONTH(FebOffSet+17)=2),FebOffSet+17,"")</f>
        <v>45699</v>
      </c>
      <c r="S21" s="168">
        <f>IF(AND(YEAR(FebOffSet+18)=CalendarYear,MONTH(FebOffSet+18)=2),FebOffSet+18,"")</f>
        <v>45700</v>
      </c>
      <c r="T21" s="168">
        <f>IF(AND(YEAR(FebOffSet+19)=CalendarYear,MONTH(FebOffSet+19)=2),FebOffSet+19,"")</f>
        <v>45701</v>
      </c>
      <c r="U21" s="169">
        <f>IF(AND(YEAR(FebOffSet+20)=CalendarYear,MONTH(FebOffSet+20)=2),FebOffSet+20,"")</f>
        <v>45702</v>
      </c>
      <c r="V21" s="77"/>
      <c r="W21" s="258"/>
      <c r="X21" s="88">
        <f>IF(AND(YEAR(MayOffSet+16)=CalendarYear,MONTH(MayOffSet+16)=5),MayOffSet+16,"")</f>
        <v>45789</v>
      </c>
      <c r="Y21" s="168">
        <f>IF(AND(YEAR(MayOffSet+17)=CalendarYear,MONTH(MayOffSet+17)=5),MayOffSet+17,"")</f>
        <v>45790</v>
      </c>
      <c r="Z21" s="168">
        <f>IF(AND(YEAR(MayOffSet+18)=CalendarYear,MONTH(MayOffSet+18)=5),MayOffSet+18,"")</f>
        <v>45791</v>
      </c>
      <c r="AA21" s="168">
        <f>IF(AND(YEAR(MayOffSet+19)=CalendarYear,MONTH(MayOffSet+19)=5),MayOffSet+19,"")</f>
        <v>45792</v>
      </c>
      <c r="AB21" s="169">
        <f>IF(AND(YEAR(MayOffSet+20)=CalendarYear,MONTH(MayOffSet+20)=5),MayOffSet+20,"")</f>
        <v>45793</v>
      </c>
      <c r="AC21" s="77"/>
      <c r="AD21" s="12"/>
    </row>
    <row r="22" spans="1:30" x14ac:dyDescent="0.25">
      <c r="A22" s="17"/>
      <c r="B22" s="270"/>
      <c r="C22" s="165"/>
      <c r="D22" s="166"/>
      <c r="E22" s="166"/>
      <c r="F22" s="166"/>
      <c r="G22" s="167"/>
      <c r="H22" s="77" t="s">
        <v>20</v>
      </c>
      <c r="I22" s="242"/>
      <c r="J22" s="165"/>
      <c r="K22" s="166"/>
      <c r="L22" s="166"/>
      <c r="M22" s="166"/>
      <c r="N22" s="167"/>
      <c r="O22" s="77" t="s">
        <v>21</v>
      </c>
      <c r="P22" s="258"/>
      <c r="Q22" s="165"/>
      <c r="R22" s="166"/>
      <c r="S22" s="166"/>
      <c r="T22" s="166"/>
      <c r="U22" s="167"/>
      <c r="V22" s="77" t="s">
        <v>22</v>
      </c>
      <c r="W22" s="258"/>
      <c r="X22" s="165"/>
      <c r="Y22" s="166"/>
      <c r="Z22" s="166"/>
      <c r="AA22" s="166"/>
      <c r="AB22" s="167"/>
      <c r="AC22" s="77" t="s">
        <v>23</v>
      </c>
      <c r="AD22" s="12"/>
    </row>
    <row r="23" spans="1:30" x14ac:dyDescent="0.25">
      <c r="A23" s="17"/>
      <c r="B23" s="270"/>
      <c r="C23" s="88">
        <f>IF(AND(YEAR(AugOffSet+23)=BegCalYear,MONTH(AugOffSet+23)=8),AugOffSet+23,"")</f>
        <v>45523</v>
      </c>
      <c r="D23" s="168">
        <f>IF(AND(YEAR(AugOffSet+24)=BegCalYear,MONTH(AugOffSet+24)=8),AugOffSet+24,"")</f>
        <v>45524</v>
      </c>
      <c r="E23" s="168">
        <f>IF(AND(YEAR(AugOffSet+25)=BegCalYear,MONTH(AugOffSet+25)=8),AugOffSet+25,"")</f>
        <v>45525</v>
      </c>
      <c r="F23" s="168">
        <f>IF(AND(YEAR(AugOffSet+26)=BegCalYear,MONTH(AugOffSet+26)=8),AugOffSet+26,"")</f>
        <v>45526</v>
      </c>
      <c r="G23" s="169">
        <f>IF(AND(YEAR(AugOffSet+27)=BegCalYear,MONTH(AugOffSet+27)=8),AugOffSet+27,"")</f>
        <v>45527</v>
      </c>
      <c r="H23" s="26" t="s">
        <v>14</v>
      </c>
      <c r="I23" s="242"/>
      <c r="J23" s="88">
        <f>IF(AND(YEAR(NovOffSet+23)=BegCalYear,MONTH(NovOffSet+23)=11),NovOffSet+23,"")</f>
        <v>45614</v>
      </c>
      <c r="K23" s="168">
        <f>IF(AND(YEAR(NovOffSet+24)=BegCalYear,MONTH(NovOffSet+24)=11),NovOffSet+24,"")</f>
        <v>45615</v>
      </c>
      <c r="L23" s="168">
        <f>IF(AND(YEAR(NovOffSet+25)=BegCalYear,MONTH(NovOffSet+25)=11),NovOffSet+25,"")</f>
        <v>45616</v>
      </c>
      <c r="M23" s="168">
        <f>IF(AND(YEAR(NovOffSet+26)=BegCalYear,MONTH(NovOffSet+26)=11),NovOffSet+26,"")</f>
        <v>45617</v>
      </c>
      <c r="N23" s="169">
        <f>IF(AND(YEAR(NovOffSet+27)=BegCalYear,MONTH(NovOffSet+27)=11),NovOffSet+27,"")</f>
        <v>45618</v>
      </c>
      <c r="O23" s="26" t="s">
        <v>14</v>
      </c>
      <c r="P23" s="258"/>
      <c r="Q23" s="88">
        <f>IF(AND(YEAR(FebOffSet+23)=CalendarYear,MONTH(FebOffSet+23)=2),FebOffSet+23,"")</f>
        <v>45705</v>
      </c>
      <c r="R23" s="168">
        <f>IF(AND(YEAR(FebOffSet+24)=CalendarYear,MONTH(FebOffSet+24)=2),FebOffSet+24,"")</f>
        <v>45706</v>
      </c>
      <c r="S23" s="168">
        <f>IF(AND(YEAR(FebOffSet+25)=CalendarYear,MONTH(FebOffSet+25)=2),FebOffSet+25,"")</f>
        <v>45707</v>
      </c>
      <c r="T23" s="168">
        <f>IF(AND(YEAR(FebOffSet+26)=CalendarYear,MONTH(FebOffSet+26)=2),FebOffSet+26,"")</f>
        <v>45708</v>
      </c>
      <c r="U23" s="169">
        <f>IF(AND(YEAR(FebOffSet+27)=CalendarYear,MONTH(FebOffSet+27)=2),FebOffSet+27,"")</f>
        <v>45709</v>
      </c>
      <c r="V23" s="26" t="s">
        <v>14</v>
      </c>
      <c r="W23" s="258"/>
      <c r="X23" s="88">
        <f>IF(AND(YEAR(MayOffSet+23)=CalendarYear,MONTH(MayOffSet+23)=5),MayOffSet+23,"")</f>
        <v>45796</v>
      </c>
      <c r="Y23" s="168">
        <f>IF(AND(YEAR(MayOffSet+24)=CalendarYear,MONTH(MayOffSet+24)=5),MayOffSet+24,"")</f>
        <v>45797</v>
      </c>
      <c r="Z23" s="168">
        <f>IF(AND(YEAR(MayOffSet+25)=CalendarYear,MONTH(MayOffSet+25)=5),MayOffSet+25,"")</f>
        <v>45798</v>
      </c>
      <c r="AA23" s="168">
        <f>IF(AND(YEAR(MayOffSet+26)=CalendarYear,MONTH(MayOffSet+26)=5),MayOffSet+26,"")</f>
        <v>45799</v>
      </c>
      <c r="AB23" s="169">
        <f>IF(AND(YEAR(MayOffSet+27)=CalendarYear,MONTH(MayOffSet+27)=5),MayOffSet+27,"")</f>
        <v>45800</v>
      </c>
      <c r="AC23" s="26" t="s">
        <v>14</v>
      </c>
      <c r="AD23" s="12"/>
    </row>
    <row r="24" spans="1:30" x14ac:dyDescent="0.25">
      <c r="A24" s="17"/>
      <c r="B24" s="270"/>
      <c r="C24" s="165"/>
      <c r="D24" s="166"/>
      <c r="E24" s="166"/>
      <c r="F24" s="166"/>
      <c r="G24" s="167"/>
      <c r="H24" s="77" t="s">
        <v>15</v>
      </c>
      <c r="I24" s="242"/>
      <c r="J24" s="165"/>
      <c r="K24" s="166"/>
      <c r="L24" s="166"/>
      <c r="M24" s="166"/>
      <c r="N24" s="167"/>
      <c r="O24" s="77" t="s">
        <v>15</v>
      </c>
      <c r="P24" s="258"/>
      <c r="Q24" s="165"/>
      <c r="R24" s="166"/>
      <c r="S24" s="166"/>
      <c r="T24" s="166"/>
      <c r="U24" s="167"/>
      <c r="V24" s="77" t="s">
        <v>15</v>
      </c>
      <c r="W24" s="258"/>
      <c r="X24" s="165"/>
      <c r="Y24" s="166"/>
      <c r="Z24" s="166"/>
      <c r="AA24" s="166"/>
      <c r="AB24" s="167"/>
      <c r="AC24" s="77" t="s">
        <v>15</v>
      </c>
      <c r="AD24" s="12"/>
    </row>
    <row r="25" spans="1:30" ht="15.75" thickBot="1" x14ac:dyDescent="0.3">
      <c r="A25" s="17"/>
      <c r="B25" s="271"/>
      <c r="C25" s="89">
        <f>IF(AND(YEAR(AugOffSet+30)=BegCalYear,MONTH(AugOffSet+30)=8),AugOffSet+30,"")</f>
        <v>45530</v>
      </c>
      <c r="D25" s="96">
        <f>IF(AND(YEAR(AugOffSet+31)=BegCalYear,MONTH(AugOffSet+31)=8),AugOffSet+31,"")</f>
        <v>45531</v>
      </c>
      <c r="E25" s="96">
        <f>IF(AND(YEAR(AugOffSet+32)=BegCalYear,MONTH(AugOffSet+32)=8),AugOffSet+32,"")</f>
        <v>45532</v>
      </c>
      <c r="F25" s="96">
        <f>IF(AND(YEAR(AugOffSet+33)=BegCalYear,MONTH(AugOffSet+33)=8),AugOffSet+33,"")</f>
        <v>45533</v>
      </c>
      <c r="G25" s="90">
        <f>IF(AND(YEAR(AugOffSet+34)=BegCalYear,MONTH(AugOffSet+34)=8),AugOffSet+34,"")</f>
        <v>45534</v>
      </c>
      <c r="H25" s="78">
        <f>ROUNDDOWN(SUM(SUM(C16:G16,C18:G18,C20:G20,C22:G22,C24:G24)/8),1)</f>
        <v>0</v>
      </c>
      <c r="I25" s="254"/>
      <c r="J25" s="89">
        <f>IF(AND(YEAR(NovOffSet+30)=BegCalYear,MONTH(NovOffSet+30)=11),NovOffSet+30,"")</f>
        <v>45621</v>
      </c>
      <c r="K25" s="96">
        <f>IF(AND(YEAR(NovOffSet+31)=BegCalYear,MONTH(NovOffSet+31)=11),NovOffSet+31,"")</f>
        <v>45622</v>
      </c>
      <c r="L25" s="96">
        <f>IF(AND(YEAR(NovOffSet+32)=BegCalYear,MONTH(NovOffSet+32)=11),NovOffSet+32,"")</f>
        <v>45623</v>
      </c>
      <c r="M25" s="96">
        <f>IF(AND(YEAR(NovOffSet+33)=BegCalYear,MONTH(NovOffSet+33)=11),NovOffSet+33,"")</f>
        <v>45624</v>
      </c>
      <c r="N25" s="90">
        <f>IF(AND(YEAR(NovOffSet+34)=BegCalYear,MONTH(NovOffSet+34)=11),NovOffSet+34,"")</f>
        <v>45625</v>
      </c>
      <c r="O25" s="78">
        <f>ROUNDDOWN(SUM(SUM(J16:N16,J18:N18,J20:N20,J22:N22,J24:N24)/8),1)</f>
        <v>0</v>
      </c>
      <c r="P25" s="259"/>
      <c r="Q25" s="89">
        <f>IF(AND(YEAR(FebOffSet+30)=CalendarYear,MONTH(FebOffSet+30)=2),FebOffSet+30,"")</f>
        <v>45712</v>
      </c>
      <c r="R25" s="96">
        <f>IF(AND(YEAR(FebOffSet+31)=CalendarYear,MONTH(FebOffSet+31)=2),FebOffSet+31,"")</f>
        <v>45713</v>
      </c>
      <c r="S25" s="96">
        <f>IF(AND(YEAR(FebOffSet+32)=CalendarYear,MONTH(FebOffSet+32)=2),FebOffSet+32,"")</f>
        <v>45714</v>
      </c>
      <c r="T25" s="96">
        <f>IF(AND(YEAR(FebOffSet+33)=CalendarYear,MONTH(FebOffSet+33)=2),FebOffSet+33,"")</f>
        <v>45715</v>
      </c>
      <c r="U25" s="90">
        <f>IF(AND(YEAR(FebOffSet+34)=CalendarYear,MONTH(FebOffSet+34)=2),FebOffSet+34,"")</f>
        <v>45716</v>
      </c>
      <c r="V25" s="78">
        <f>ROUNDDOWN(SUM(SUM(Q18:U18,Q16:U16,Q20:U20,Q22:U22,Q24:U24)/8),1)</f>
        <v>0</v>
      </c>
      <c r="W25" s="259"/>
      <c r="X25" s="89">
        <f>IF(AND(YEAR(MayOffSet+30)=CalendarYear,MONTH(MayOffSet+30)=5),MayOffSet+30,"")</f>
        <v>45803</v>
      </c>
      <c r="Y25" s="96">
        <f>IF(AND(YEAR(MayOffSet+31)=CalendarYear,MONTH(MayOffSet+31)=5),MayOffSet+31,"")</f>
        <v>45804</v>
      </c>
      <c r="Z25" s="96">
        <f>IF(AND(YEAR(MayOffSet+32)=CalendarYear,MONTH(MayOffSet+32)=5),MayOffSet+32,"")</f>
        <v>45805</v>
      </c>
      <c r="AA25" s="96">
        <f>IF(AND(YEAR(MayOffSet+33)=CalendarYear,MONTH(MayOffSet+33)=5),MayOffSet+33,"")</f>
        <v>45806</v>
      </c>
      <c r="AB25" s="90">
        <f>IF(AND(YEAR(MayOffSet+34)=CalendarYear,MONTH(MayOffSet+34)=5),MayOffSet+34,"")</f>
        <v>45807</v>
      </c>
      <c r="AC25" s="78">
        <f>ROUNDDOWN(SUM(SUM(X16:AB16,X18:AB18,X20:AB20,X22:AB22,X24:AB24)/8),1)</f>
        <v>0</v>
      </c>
      <c r="AD25" s="12"/>
    </row>
    <row r="26" spans="1:30" ht="15.75" thickBot="1" x14ac:dyDescent="0.3">
      <c r="A26" s="17"/>
      <c r="B26" s="17"/>
      <c r="C26" s="26"/>
      <c r="D26" s="26"/>
      <c r="E26" s="26"/>
      <c r="F26" s="26"/>
      <c r="G26" s="26"/>
      <c r="H26" s="77"/>
      <c r="I26" s="25"/>
      <c r="J26" s="26"/>
      <c r="K26" s="26"/>
      <c r="L26" s="26"/>
      <c r="M26" s="26"/>
      <c r="N26" s="26"/>
      <c r="O26" s="77"/>
      <c r="P26" s="25"/>
      <c r="Q26" s="26"/>
      <c r="R26" s="26"/>
      <c r="S26" s="26"/>
      <c r="T26" s="26"/>
      <c r="U26" s="26"/>
      <c r="V26" s="77"/>
      <c r="W26" s="25"/>
      <c r="X26" s="26"/>
      <c r="Y26" s="26"/>
      <c r="Z26" s="26"/>
      <c r="AA26" s="26"/>
      <c r="AB26" s="26"/>
      <c r="AC26" s="77"/>
      <c r="AD26" s="12"/>
    </row>
    <row r="27" spans="1:30" ht="15" customHeight="1" x14ac:dyDescent="0.25">
      <c r="A27" s="17"/>
      <c r="B27" s="269" t="s">
        <v>24</v>
      </c>
      <c r="C27" s="162"/>
      <c r="D27" s="163"/>
      <c r="E27" s="163"/>
      <c r="F27" s="163"/>
      <c r="G27" s="164"/>
      <c r="H27" s="77"/>
      <c r="I27" s="241" t="s">
        <v>25</v>
      </c>
      <c r="J27" s="162"/>
      <c r="K27" s="163"/>
      <c r="L27" s="163"/>
      <c r="M27" s="163"/>
      <c r="N27" s="164"/>
      <c r="O27" s="77"/>
      <c r="P27" s="260" t="s">
        <v>26</v>
      </c>
      <c r="Q27" s="162"/>
      <c r="R27" s="163"/>
      <c r="S27" s="163"/>
      <c r="T27" s="163"/>
      <c r="U27" s="164"/>
      <c r="V27" s="77"/>
      <c r="W27" s="241" t="s">
        <v>76</v>
      </c>
      <c r="X27" s="162"/>
      <c r="Y27" s="163"/>
      <c r="Z27" s="163"/>
      <c r="AA27" s="163"/>
      <c r="AB27" s="164"/>
      <c r="AC27" s="77"/>
      <c r="AD27" s="12"/>
    </row>
    <row r="28" spans="1:30" x14ac:dyDescent="0.25">
      <c r="A28" s="17"/>
      <c r="B28" s="270"/>
      <c r="C28" s="88">
        <f>IF(AND(YEAR(SeptOffSet+2)=BegCalYear,MONTH(SeptOffSet+2)=9),SeptOffSet+2,"")</f>
        <v>45537</v>
      </c>
      <c r="D28" s="168">
        <f>IF(AND(YEAR(SeptOffSet+3)=BegCalYear,MONTH(SeptOffSet+3)=9),SeptOffSet+3,"")</f>
        <v>45538</v>
      </c>
      <c r="E28" s="168">
        <f>IF(AND(YEAR(SeptOffSet+4)=BegCalYear,MONTH(SeptOffSet+4)=9),SeptOffSet+4,"")</f>
        <v>45539</v>
      </c>
      <c r="F28" s="168">
        <f>IF(AND(YEAR(SeptOffSet+5)=BegCalYear,MONTH(SeptOffSet+5)=9),SeptOffSet+5,"")</f>
        <v>45540</v>
      </c>
      <c r="G28" s="169">
        <f>IF(AND(YEAR(SeptOffSet+6)=BegCalYear,MONTH(SeptOffSet+6)=9),SeptOffSet+6,"")</f>
        <v>45541</v>
      </c>
      <c r="H28" s="77"/>
      <c r="I28" s="242"/>
      <c r="J28" s="88">
        <f>IF(AND(YEAR(DecOffSet+2)=BegCalYear,MONTH(DecOffSet+2)=12),DecOffSet+2,"")</f>
        <v>45628</v>
      </c>
      <c r="K28" s="168">
        <f>IF(AND(YEAR(DecOffSet+3)=BegCalYear,MONTH(DecOffSet+3)=12),DecOffSet+3,"")</f>
        <v>45629</v>
      </c>
      <c r="L28" s="168">
        <f>IF(AND(YEAR(DecOffSet+4)=BegCalYear,MONTH(DecOffSet+4)=12),DecOffSet+4,"")</f>
        <v>45630</v>
      </c>
      <c r="M28" s="168">
        <f>IF(AND(YEAR(DecOffSet+5)=BegCalYear,MONTH(DecOffSet+5)=12),DecOffSet+5,"")</f>
        <v>45631</v>
      </c>
      <c r="N28" s="169">
        <f>IF(AND(YEAR(DecOffSet+6)=BegCalYear,MONTH(DecOffSet+6)=12),DecOffSet+6,"")</f>
        <v>45632</v>
      </c>
      <c r="O28" s="77"/>
      <c r="P28" s="261"/>
      <c r="Q28" s="88">
        <f>IF(AND(YEAR(MarOffSet+9)=CalendarYear,MONTH(MarOffSet+9)=3),MarOffSet+9,"")</f>
        <v>45719</v>
      </c>
      <c r="R28" s="168">
        <f>IF(AND(YEAR(MarOffSet+10)=CalendarYear,MONTH(MarOffSet+10)=3),MarOffSet+10,"")</f>
        <v>45720</v>
      </c>
      <c r="S28" s="168">
        <f>IF(AND(YEAR(MarOffSet+11)=CalendarYear,MONTH(MarOffSet+11)=3),MarOffSet+11,"")</f>
        <v>45721</v>
      </c>
      <c r="T28" s="168">
        <f>IF(AND(YEAR(MarOffSet+12)=CalendarYear,MONTH(MarOffSet+12)=3),MarOffSet+12,"")</f>
        <v>45722</v>
      </c>
      <c r="U28" s="169">
        <f>IF(AND(YEAR(MarOffSet+13)=CalendarYear,MONTH(MarOffSet+13)=3),MarOffSet+13,"")</f>
        <v>45723</v>
      </c>
      <c r="V28" s="77"/>
      <c r="W28" s="242"/>
      <c r="X28" s="88">
        <f>IF(AND(YEAR(JuneOffSet+2)=CalendarYear,MONTH(JuneOffSet+2)=6),JuneOffSet+2,"")</f>
        <v>45810</v>
      </c>
      <c r="Y28" s="168">
        <f>IF(AND(YEAR(JuneOffSet+3)=CalendarYear,MONTH(JuneOffSet+3)=6),JuneOffSet+3,"")</f>
        <v>45811</v>
      </c>
      <c r="Z28" s="168">
        <f>IF(AND(YEAR(JuneOffSet+4)=CalendarYear,MONTH(JuneOffSet+4)=6),JuneOffSet+4,"")</f>
        <v>45812</v>
      </c>
      <c r="AA28" s="168">
        <f>IF(AND(YEAR(JuneOffSet+5)=CalendarYear,MONTH(JuneOffSet+5)=6),JuneOffSet+5,"")</f>
        <v>45813</v>
      </c>
      <c r="AB28" s="169">
        <f>IF(AND(YEAR(JuneOffSet+6)=CalendarYear,MONTH(JuneOffSet+6)=6),JuneOffSet+6,"")</f>
        <v>45814</v>
      </c>
      <c r="AC28" s="77"/>
      <c r="AD28" s="12"/>
    </row>
    <row r="29" spans="1:30" ht="15" customHeight="1" x14ac:dyDescent="0.25">
      <c r="A29" s="17"/>
      <c r="B29" s="270"/>
      <c r="C29" s="165"/>
      <c r="D29" s="166"/>
      <c r="E29" s="166"/>
      <c r="F29" s="166"/>
      <c r="G29" s="167"/>
      <c r="H29" s="77"/>
      <c r="I29" s="242"/>
      <c r="J29" s="165"/>
      <c r="K29" s="166"/>
      <c r="L29" s="166"/>
      <c r="M29" s="166"/>
      <c r="N29" s="167"/>
      <c r="O29" s="77"/>
      <c r="P29" s="261"/>
      <c r="Q29" s="165"/>
      <c r="R29" s="166"/>
      <c r="S29" s="166"/>
      <c r="T29" s="166"/>
      <c r="U29" s="167"/>
      <c r="V29" s="77"/>
      <c r="W29" s="242"/>
      <c r="X29" s="165"/>
      <c r="Y29" s="166"/>
      <c r="Z29" s="166"/>
      <c r="AA29" s="166"/>
      <c r="AB29" s="167"/>
      <c r="AC29" s="77"/>
      <c r="AD29" s="12"/>
    </row>
    <row r="30" spans="1:30" x14ac:dyDescent="0.25">
      <c r="A30" s="17"/>
      <c r="B30" s="270"/>
      <c r="C30" s="88">
        <f>IF(AND(YEAR(SeptOffSet+9)=BegCalYear,MONTH(SeptOffSet+9)=9),SeptOffSet+9,"")</f>
        <v>45544</v>
      </c>
      <c r="D30" s="168">
        <f>IF(AND(YEAR(SeptOffSet+10)=BegCalYear,MONTH(SeptOffSet+10)=9),SeptOffSet+10,"")</f>
        <v>45545</v>
      </c>
      <c r="E30" s="168">
        <f>IF(AND(YEAR(SeptOffSet+11)=BegCalYear,MONTH(SeptOffSet+11)=9),SeptOffSet+11,"")</f>
        <v>45546</v>
      </c>
      <c r="F30" s="168">
        <f>IF(AND(YEAR(SeptOffSet+12)=BegCalYear,MONTH(SeptOffSet+12)=9),SeptOffSet+12,"")</f>
        <v>45547</v>
      </c>
      <c r="G30" s="169">
        <f>IF(AND(YEAR(SeptOffSet+13)=BegCalYear,MONTH(SeptOffSet+13)=9),SeptOffSet+13,"")</f>
        <v>45548</v>
      </c>
      <c r="H30" s="77"/>
      <c r="I30" s="242"/>
      <c r="J30" s="88">
        <f>IF(AND(YEAR(DecOffSet+9)=BegCalYear,MONTH(DecOffSet+9)=12),DecOffSet+9,"")</f>
        <v>45635</v>
      </c>
      <c r="K30" s="168">
        <f>IF(AND(YEAR(DecOffSet+10)=BegCalYear,MONTH(DecOffSet+10)=12),DecOffSet+10,"")</f>
        <v>45636</v>
      </c>
      <c r="L30" s="168">
        <f>IF(AND(YEAR(DecOffSet+11)=BegCalYear,MONTH(DecOffSet+11)=12),DecOffSet+11,"")</f>
        <v>45637</v>
      </c>
      <c r="M30" s="168">
        <f>IF(AND(YEAR(DecOffSet+12)=BegCalYear,MONTH(DecOffSet+12)=12),DecOffSet+12,"")</f>
        <v>45638</v>
      </c>
      <c r="N30" s="169">
        <f>IF(AND(YEAR(DecOffSet+13)=BegCalYear,MONTH(DecOffSet+13)=12),DecOffSet+13,"")</f>
        <v>45639</v>
      </c>
      <c r="O30" s="77"/>
      <c r="P30" s="261"/>
      <c r="Q30" s="88">
        <f>IF(AND(YEAR(MarOffSet+16)=CalendarYear,MONTH(MarOffSet+16)=3),MarOffSet+16,"")</f>
        <v>45726</v>
      </c>
      <c r="R30" s="168">
        <f>IF(AND(YEAR(MarOffSet+17)=CalendarYear,MONTH(MarOffSet+17)=3),MarOffSet+17,"")</f>
        <v>45727</v>
      </c>
      <c r="S30" s="168">
        <f>IF(AND(YEAR(MarOffSet+18)=CalendarYear,MONTH(MarOffSet+18)=3),MarOffSet+18,"")</f>
        <v>45728</v>
      </c>
      <c r="T30" s="168">
        <f>IF(AND(YEAR(MarOffSet+19)=CalendarYear,MONTH(MarOffSet+19)=3),MarOffSet+19,"")</f>
        <v>45729</v>
      </c>
      <c r="U30" s="169">
        <f>IF(AND(YEAR(MarOffSet+20)=CalendarYear,MONTH(MarOffSet+20)=3),MarOffSet+20,"")</f>
        <v>45730</v>
      </c>
      <c r="V30" s="77"/>
      <c r="W30" s="242"/>
      <c r="X30" s="88">
        <f>IF(AND(YEAR(JuneOffSet+9)=CalendarYear,MONTH(JuneOffSet+9)=6),JuneOffSet+9,"")</f>
        <v>45817</v>
      </c>
      <c r="Y30" s="168">
        <f>IF(AND(YEAR(JuneOffSet+10)=CalendarYear,MONTH(JuneOffSet+10)=6),JuneOffSet+10,"")</f>
        <v>45818</v>
      </c>
      <c r="Z30" s="168">
        <f>IF(AND(YEAR(JuneOffSet+11)=CalendarYear,MONTH(JuneOffSet+11)=6),JuneOffSet+11,"")</f>
        <v>45819</v>
      </c>
      <c r="AA30" s="168">
        <f>IF(AND(YEAR(JuneOffSet+12)=CalendarYear,MONTH(JuneOffSet+12)=6),JuneOffSet+12,"")</f>
        <v>45820</v>
      </c>
      <c r="AB30" s="169">
        <f>IF(AND(YEAR(JuneOffSet+13)=CalendarYear,MONTH(JuneOffSet+13)=6),JuneOffSet+13,"")</f>
        <v>45821</v>
      </c>
      <c r="AC30" s="77"/>
      <c r="AD30" s="12"/>
    </row>
    <row r="31" spans="1:30" x14ac:dyDescent="0.25">
      <c r="A31" s="17"/>
      <c r="B31" s="270"/>
      <c r="C31" s="165"/>
      <c r="D31" s="166"/>
      <c r="E31" s="166"/>
      <c r="F31" s="166"/>
      <c r="G31" s="167"/>
      <c r="H31" s="77"/>
      <c r="I31" s="242"/>
      <c r="J31" s="165"/>
      <c r="K31" s="166"/>
      <c r="L31" s="166"/>
      <c r="M31" s="166"/>
      <c r="N31" s="167"/>
      <c r="O31" s="77"/>
      <c r="P31" s="261"/>
      <c r="Q31" s="165"/>
      <c r="R31" s="166"/>
      <c r="S31" s="166"/>
      <c r="T31" s="166"/>
      <c r="U31" s="167"/>
      <c r="V31" s="77"/>
      <c r="W31" s="242"/>
      <c r="X31" s="165"/>
      <c r="Y31" s="166"/>
      <c r="Z31" s="166"/>
      <c r="AA31" s="166"/>
      <c r="AB31" s="167"/>
      <c r="AC31" s="77"/>
      <c r="AD31" s="12"/>
    </row>
    <row r="32" spans="1:30" x14ac:dyDescent="0.25">
      <c r="A32" s="17"/>
      <c r="B32" s="270"/>
      <c r="C32" s="88">
        <f>IF(AND(YEAR(SeptOffSet+16)=BegCalYear,MONTH(SeptOffSet+16)=9),SeptOffSet+16,"")</f>
        <v>45551</v>
      </c>
      <c r="D32" s="168">
        <f>IF(AND(YEAR(SeptOffSet+17)=BegCalYear,MONTH(SeptOffSet+17)=9),SeptOffSet+17,"")</f>
        <v>45552</v>
      </c>
      <c r="E32" s="168">
        <f>IF(AND(YEAR(SeptOffSet+18)=BegCalYear,MONTH(SeptOffSet+18)=9),SeptOffSet+18,"")</f>
        <v>45553</v>
      </c>
      <c r="F32" s="168">
        <f>IF(AND(YEAR(SeptOffSet+19)=BegCalYear,MONTH(SeptOffSet+19)=9),SeptOffSet+19,"")</f>
        <v>45554</v>
      </c>
      <c r="G32" s="169">
        <f>IF(AND(YEAR(SeptOffSet+20)=BegCalYear,MONTH(SeptOffSet+20)=9),SeptOffSet+20,"")</f>
        <v>45555</v>
      </c>
      <c r="H32" s="77"/>
      <c r="I32" s="242"/>
      <c r="J32" s="88">
        <f>IF(AND(YEAR(DecOffSet+16)=BegCalYear,MONTH(DecOffSet+16)=12),DecOffSet+16,"")</f>
        <v>45642</v>
      </c>
      <c r="K32" s="168">
        <f>IF(AND(YEAR(DecOffSet+17)=BegCalYear,MONTH(DecOffSet+17)=12),DecOffSet+17,"")</f>
        <v>45643</v>
      </c>
      <c r="L32" s="168">
        <f>IF(AND(YEAR(DecOffSet+18)=BegCalYear,MONTH(DecOffSet+18)=12),DecOffSet+18,"")</f>
        <v>45644</v>
      </c>
      <c r="M32" s="168">
        <f>IF(AND(YEAR(DecOffSet+19)=BegCalYear,MONTH(DecOffSet+19)=12),DecOffSet+19,"")</f>
        <v>45645</v>
      </c>
      <c r="N32" s="169">
        <f>IF(AND(YEAR(DecOffSet+20)=BegCalYear,MONTH(DecOffSet+20)=12),DecOffSet+20,"")</f>
        <v>45646</v>
      </c>
      <c r="O32" s="77"/>
      <c r="P32" s="261"/>
      <c r="Q32" s="88">
        <f>IF(AND(YEAR(MarOffSet+23)=CalendarYear,MONTH(MarOffSet+23)=3),MarOffSet+23,"")</f>
        <v>45733</v>
      </c>
      <c r="R32" s="168">
        <f>IF(AND(YEAR(MarOffSet+24)=CalendarYear,MONTH(MarOffSet+24)=3),MarOffSet+24,"")</f>
        <v>45734</v>
      </c>
      <c r="S32" s="168">
        <f>IF(AND(YEAR(MarOffSet+25)=CalendarYear,MONTH(MarOffSet+25)=3),MarOffSet+25,"")</f>
        <v>45735</v>
      </c>
      <c r="T32" s="168">
        <f>IF(AND(YEAR(MarOffSet+26)=CalendarYear,MONTH(MarOffSet+26)=3),MarOffSet+26,"")</f>
        <v>45736</v>
      </c>
      <c r="U32" s="169">
        <f>IF(AND(YEAR(MarOffSet+27)=CalendarYear,MONTH(MarOffSet+27)=3),MarOffSet+27,"")</f>
        <v>45737</v>
      </c>
      <c r="V32" s="77"/>
      <c r="W32" s="242"/>
      <c r="X32" s="88">
        <f>IF(AND(YEAR(JuneOffSet+16)=CalendarYear,MONTH(JuneOffSet+16)=6),JuneOffSet+16,"")</f>
        <v>45824</v>
      </c>
      <c r="Y32" s="168">
        <f>IF(AND(YEAR(JuneOffSet+17)=CalendarYear,MONTH(JuneOffSet+17)=6),JuneOffSet+17,"")</f>
        <v>45825</v>
      </c>
      <c r="Z32" s="168">
        <f>IF(AND(YEAR(JuneOffSet+18)=CalendarYear,MONTH(JuneOffSet+18)=6),JuneOffSet+18,"")</f>
        <v>45826</v>
      </c>
      <c r="AA32" s="168">
        <f>IF(AND(YEAR(JuneOffSet+19)=CalendarYear,MONTH(JuneOffSet+19)=6),JuneOffSet+19,"")</f>
        <v>45827</v>
      </c>
      <c r="AB32" s="169">
        <f>IF(AND(YEAR(JuneOffSet+20)=CalendarYear,MONTH(JuneOffSet+20)=6),JuneOffSet+20,"")</f>
        <v>45828</v>
      </c>
      <c r="AC32" s="77"/>
      <c r="AD32" s="12"/>
    </row>
    <row r="33" spans="1:41" ht="15" customHeight="1" x14ac:dyDescent="0.25">
      <c r="A33" s="17"/>
      <c r="B33" s="270"/>
      <c r="C33" s="165"/>
      <c r="D33" s="166"/>
      <c r="E33" s="166"/>
      <c r="F33" s="166"/>
      <c r="G33" s="167"/>
      <c r="H33" s="77" t="s">
        <v>27</v>
      </c>
      <c r="I33" s="242"/>
      <c r="J33" s="165"/>
      <c r="K33" s="166"/>
      <c r="L33" s="166"/>
      <c r="M33" s="166"/>
      <c r="N33" s="167"/>
      <c r="O33" s="77" t="s">
        <v>28</v>
      </c>
      <c r="P33" s="261"/>
      <c r="Q33" s="165"/>
      <c r="R33" s="166"/>
      <c r="S33" s="166"/>
      <c r="T33" s="166"/>
      <c r="U33" s="167"/>
      <c r="V33" s="77" t="s">
        <v>29</v>
      </c>
      <c r="W33" s="242"/>
      <c r="X33" s="165"/>
      <c r="Y33" s="166"/>
      <c r="Z33" s="166"/>
      <c r="AA33" s="166"/>
      <c r="AB33" s="167"/>
      <c r="AC33" s="77" t="s">
        <v>77</v>
      </c>
      <c r="AD33" s="12"/>
    </row>
    <row r="34" spans="1:41" x14ac:dyDescent="0.25">
      <c r="A34" s="17"/>
      <c r="B34" s="270"/>
      <c r="C34" s="88">
        <f>IF(AND(YEAR(SeptOffSet+23)=BegCalYear,MONTH(SeptOffSet+23)=9),SeptOffSet+23,"")</f>
        <v>45558</v>
      </c>
      <c r="D34" s="168">
        <f>IF(AND(YEAR(SeptOffSet+24)=BegCalYear,MONTH(SeptOffSet+24)=9),SeptOffSet+24,"")</f>
        <v>45559</v>
      </c>
      <c r="E34" s="168">
        <f>IF(AND(YEAR(SeptOffSet+25)=BegCalYear,MONTH(SeptOffSet+25)=9),SeptOffSet+25,"")</f>
        <v>45560</v>
      </c>
      <c r="F34" s="168">
        <f>IF(AND(YEAR(SeptOffSet+26)=BegCalYear,MONTH(SeptOffSet+26)=9),SeptOffSet+26,"")</f>
        <v>45561</v>
      </c>
      <c r="G34" s="169">
        <f>IF(AND(YEAR(SeptOffSet+27)=BegCalYear,MONTH(SeptOffSet+27)=9),SeptOffSet+27,"")</f>
        <v>45562</v>
      </c>
      <c r="H34" s="26" t="s">
        <v>14</v>
      </c>
      <c r="I34" s="242"/>
      <c r="J34" s="88">
        <f>IF(AND(YEAR(DecOffSet+23)=BegCalYear,MONTH(DecOffSet+23)=12),DecOffSet+23,"")</f>
        <v>45649</v>
      </c>
      <c r="K34" s="168">
        <f>IF(AND(YEAR(DecOffSet+24)=BegCalYear,MONTH(DecOffSet+24)=12),DecOffSet+24,"")</f>
        <v>45650</v>
      </c>
      <c r="L34" s="168">
        <f>IF(AND(YEAR(DecOffSet+25)=BegCalYear,MONTH(DecOffSet+25)=12),DecOffSet+25,"")</f>
        <v>45651</v>
      </c>
      <c r="M34" s="168">
        <f>IF(AND(YEAR(DecOffSet+26)=BegCalYear,MONTH(DecOffSet+26)=12),DecOffSet+26,"")</f>
        <v>45652</v>
      </c>
      <c r="N34" s="169">
        <f>IF(AND(YEAR(DecOffSet+27)=BegCalYear,MONTH(DecOffSet+27)=12),DecOffSet+27,"")</f>
        <v>45653</v>
      </c>
      <c r="O34" s="26" t="s">
        <v>14</v>
      </c>
      <c r="P34" s="261"/>
      <c r="Q34" s="88">
        <f>IF(AND(YEAR(MarOffSet+30)=CalendarYear,MONTH(MarOffSet+30)=3),MarOffSet+30,"")</f>
        <v>45740</v>
      </c>
      <c r="R34" s="168">
        <f>IF(AND(YEAR(MarOffSet+31)=CalendarYear,MONTH(MarOffSet+31)=3),MarOffSet+31,"")</f>
        <v>45741</v>
      </c>
      <c r="S34" s="168">
        <f>IF(AND(YEAR(MarOffSet+32)=CalendarYear,MONTH(MarOffSet+32)=3),MarOffSet+32,"")</f>
        <v>45742</v>
      </c>
      <c r="T34" s="168">
        <f>IF(AND(YEAR(MarOffSet+33)=CalendarYear,MONTH(MarOffSet+33)=3),MarOffSet+33,"")</f>
        <v>45743</v>
      </c>
      <c r="U34" s="169">
        <f>IF(AND(YEAR(MarOffSet+34)=CalendarYear,MONTH(MarOffSet+34)=3),MarOffSet+34,"")</f>
        <v>45744</v>
      </c>
      <c r="V34" s="26" t="s">
        <v>14</v>
      </c>
      <c r="W34" s="242"/>
      <c r="X34" s="88">
        <f>IF(AND(YEAR(JuneOffSet+23)=CalendarYear,MONTH(JuneOffSet+23)=6),JuneOffSet+23,"")</f>
        <v>45831</v>
      </c>
      <c r="Y34" s="168">
        <f>IF(AND(YEAR(JuneOffSet+24)=CalendarYear,MONTH(JuneOffSet+24)=6),JuneOffSet+24,"")</f>
        <v>45832</v>
      </c>
      <c r="Z34" s="168">
        <f>IF(AND(YEAR(JuneOffSet+25)=CalendarYear,MONTH(JuneOffSet+25)=6),JuneOffSet+25,"")</f>
        <v>45833</v>
      </c>
      <c r="AA34" s="168">
        <f>IF(AND(YEAR(JuneOffSet+26)=CalendarYear,MONTH(JuneOffSet+26)=6),JuneOffSet+26,"")</f>
        <v>45834</v>
      </c>
      <c r="AB34" s="169">
        <f>IF(AND(YEAR(JuneOffSet+27)=CalendarYear,MONTH(JuneOffSet+27)=6),JuneOffSet+27,"")</f>
        <v>45835</v>
      </c>
      <c r="AC34" s="26" t="s">
        <v>14</v>
      </c>
      <c r="AD34" s="12"/>
    </row>
    <row r="35" spans="1:41" ht="16.5" customHeight="1" x14ac:dyDescent="0.25">
      <c r="A35" s="17"/>
      <c r="B35" s="270"/>
      <c r="C35" s="165"/>
      <c r="D35" s="166"/>
      <c r="E35" s="166"/>
      <c r="F35" s="166"/>
      <c r="G35" s="167"/>
      <c r="H35" s="77" t="s">
        <v>15</v>
      </c>
      <c r="I35" s="242"/>
      <c r="J35" s="165"/>
      <c r="K35" s="166"/>
      <c r="L35" s="166"/>
      <c r="M35" s="166"/>
      <c r="N35" s="167"/>
      <c r="O35" s="77" t="s">
        <v>15</v>
      </c>
      <c r="P35" s="261"/>
      <c r="Q35" s="165"/>
      <c r="R35" s="166"/>
      <c r="S35" s="166"/>
      <c r="T35" s="166"/>
      <c r="U35" s="167"/>
      <c r="V35" s="77" t="s">
        <v>15</v>
      </c>
      <c r="W35" s="242"/>
      <c r="X35" s="165"/>
      <c r="Y35" s="166"/>
      <c r="Z35" s="166"/>
      <c r="AA35" s="166"/>
      <c r="AB35" s="167"/>
      <c r="AC35" s="77" t="s">
        <v>15</v>
      </c>
      <c r="AD35" s="12"/>
    </row>
    <row r="36" spans="1:41" ht="15.75" thickBot="1" x14ac:dyDescent="0.3">
      <c r="A36" s="17"/>
      <c r="B36" s="271"/>
      <c r="C36" s="89">
        <f>IF(AND(YEAR(SeptOffSet+30)=BegCalYear,MONTH(SeptOffSet+30)=9),SeptOffSet+30,"")</f>
        <v>45565</v>
      </c>
      <c r="D36" s="96" t="str">
        <f>IF(AND(YEAR(SeptOffSet+31)=BegCalYear,MONTH(SeptOffSet+31)=9),SeptOffSet+31,"")</f>
        <v/>
      </c>
      <c r="E36" s="96" t="str">
        <f>IF(AND(YEAR(SeptOffSet+32)=BegCalYear,MONTH(SeptOffSet+32)=9),SeptOffSet+32,"")</f>
        <v/>
      </c>
      <c r="F36" s="96" t="str">
        <f>IF(AND(YEAR(SeptOffSet+33)=BegCalYear,MONTH(SeptOffSet+33)=9),SeptOffSet+33,"")</f>
        <v/>
      </c>
      <c r="G36" s="90" t="str">
        <f>IF(AND(YEAR(SeptOffSet+34)=BegCalYear,MONTH(SeptOffSet+34)=9),SeptOffSet+34,"")</f>
        <v/>
      </c>
      <c r="H36" s="78">
        <f>ROUNDDOWN(SUM(SUM(C27:G27,C29:G29,C31:G31,C33:G33,C35:G35)/8),1)</f>
        <v>0</v>
      </c>
      <c r="I36" s="254"/>
      <c r="J36" s="89">
        <f>IF(AND(YEAR(DecOffSet+30)=BegCalYear,MONTH(DecOffSet+30)=12),DecOffSet+30,"")</f>
        <v>45656</v>
      </c>
      <c r="K36" s="96">
        <f>IF(AND(YEAR(DecOffSet+31)=BegCalYear,MONTH(DecOffSet+31)=12),DecOffSet+31,"")</f>
        <v>45657</v>
      </c>
      <c r="L36" s="96" t="str">
        <f>IF(AND(YEAR(DecOffSet+32)=BegCalYear,MONTH(DecOffSet+32)=12),DecOffSet+32,"")</f>
        <v/>
      </c>
      <c r="M36" s="96" t="str">
        <f>IF(AND(YEAR(DecOffSet+33)=BegCalYear,MONTH(DecOffSet+33)=12),DecOffSet+33,"")</f>
        <v/>
      </c>
      <c r="N36" s="90" t="str">
        <f>IF(AND(YEAR(DecOffSet+34)=BegCalYear,MONTH(DecOffSet+34)=12),DecOffSet+34,"")</f>
        <v/>
      </c>
      <c r="O36" s="78">
        <f>ROUNDDOWN(SUM(SUM(J27:N27,J29:N29,J31:N31,J33:N33,J35:N35)/8),1)</f>
        <v>0</v>
      </c>
      <c r="P36" s="262"/>
      <c r="Q36" s="89">
        <f>IF(AND(YEAR(MarOffSet+37)=CalendarYear,MONTH(MarOffSet+37)=3),MarOffSet+37,"")</f>
        <v>45747</v>
      </c>
      <c r="R36" s="96"/>
      <c r="S36" s="96"/>
      <c r="T36" s="96"/>
      <c r="U36" s="90"/>
      <c r="V36" s="78">
        <f>ROUNDDOWN(SUM(SUM(Q27:U27,Q29:U29,Q31:U31,Q33:U33,Q35:U35)/8),1)</f>
        <v>0</v>
      </c>
      <c r="W36" s="242"/>
      <c r="X36" s="89">
        <f>IF(AND(YEAR(JuneOffSet+30)=CalendarYear,MONTH(JuneOffSet+30)=6),JuneOffSet+30,"")</f>
        <v>45838</v>
      </c>
      <c r="Y36" s="96" t="str">
        <f>IF(AND(YEAR(JuneOffSet+31)=CalendarYear,MONTH(JuneOffSet+31)=6),JuneOffSet+31,"")</f>
        <v/>
      </c>
      <c r="Z36" s="96" t="str">
        <f>IF(AND(YEAR(JuneOffSet+32)=CalendarYear,MONTH(JuneOffSet+32)=6),JuneOffSet+32,"")</f>
        <v/>
      </c>
      <c r="AA36" s="96" t="str">
        <f>IF(AND(YEAR(JuneOffSet+33)=CalendarYear,MONTH(JuneOffSet+33)=6),JuneOffSet+33,"")</f>
        <v/>
      </c>
      <c r="AB36" s="90" t="str">
        <f>IF(AND(YEAR(JuneOffSet+34)=CalendarYear,MONTH(JuneOffSet+34)=6),JuneOffSet+34,"")</f>
        <v/>
      </c>
      <c r="AC36" s="78">
        <f>ROUNDDOWN(SUM(SUM(X27:AB27,X29:AB29,X31:AB31,X33:AB33,X35:AB35,)/8),1)</f>
        <v>0</v>
      </c>
      <c r="AD36" s="12"/>
    </row>
    <row r="37" spans="1:41" x14ac:dyDescent="0.25">
      <c r="A37" s="17"/>
      <c r="B37" s="17"/>
      <c r="C37" s="26"/>
      <c r="D37" s="26"/>
      <c r="E37" s="26"/>
      <c r="F37" s="26"/>
      <c r="G37" s="26"/>
      <c r="H37" s="26"/>
      <c r="I37" s="26"/>
      <c r="J37" s="26"/>
      <c r="K37" s="26"/>
      <c r="L37" s="26"/>
      <c r="M37" s="26"/>
      <c r="N37" s="26"/>
      <c r="O37" s="26"/>
      <c r="P37" s="26"/>
      <c r="Q37" s="26"/>
      <c r="R37" s="26"/>
      <c r="S37" s="26"/>
      <c r="T37" s="26"/>
      <c r="U37" s="26"/>
      <c r="V37" s="26"/>
      <c r="W37" s="25"/>
      <c r="X37" s="26"/>
      <c r="Y37" s="26"/>
      <c r="Z37" s="26"/>
      <c r="AA37" s="26"/>
      <c r="AB37" s="26"/>
      <c r="AC37" s="77"/>
      <c r="AD37" s="12"/>
    </row>
    <row r="38" spans="1:41" ht="15" customHeight="1" x14ac:dyDescent="0.25">
      <c r="A38" s="17"/>
      <c r="B38" s="17"/>
      <c r="C38" s="26"/>
      <c r="D38" s="26"/>
      <c r="E38" s="26"/>
      <c r="F38" s="26"/>
      <c r="G38" s="26"/>
      <c r="H38" s="26"/>
      <c r="I38" s="26"/>
      <c r="J38" s="26"/>
      <c r="K38" s="26"/>
      <c r="L38" s="26"/>
      <c r="M38" s="12"/>
      <c r="N38" s="12"/>
      <c r="O38" s="12"/>
      <c r="P38" s="12"/>
      <c r="Q38" s="12"/>
      <c r="R38" s="12"/>
      <c r="S38" s="12"/>
      <c r="T38" s="12"/>
      <c r="U38" s="12"/>
      <c r="V38" s="26"/>
      <c r="W38" s="243"/>
      <c r="X38" s="185"/>
      <c r="Y38" s="185"/>
      <c r="Z38" s="185"/>
      <c r="AA38" s="185"/>
      <c r="AB38" s="185"/>
      <c r="AC38" s="184"/>
      <c r="AD38" s="12"/>
    </row>
    <row r="39" spans="1:41" ht="15" customHeight="1" thickBot="1" x14ac:dyDescent="0.3">
      <c r="A39" s="19"/>
      <c r="B39" s="98"/>
      <c r="C39" s="264" t="s">
        <v>30</v>
      </c>
      <c r="D39" s="265"/>
      <c r="E39" s="20"/>
      <c r="F39" s="20"/>
      <c r="G39" s="21"/>
      <c r="H39" s="22"/>
      <c r="I39" s="69"/>
      <c r="J39" s="263" t="s">
        <v>31</v>
      </c>
      <c r="K39" s="263"/>
      <c r="L39" s="23"/>
      <c r="M39" s="12"/>
      <c r="N39" s="12"/>
      <c r="O39" s="12"/>
      <c r="P39" s="12"/>
      <c r="Q39" s="12"/>
      <c r="R39" s="12"/>
      <c r="S39" s="12"/>
      <c r="T39" s="12"/>
      <c r="U39" s="12"/>
      <c r="V39" s="17"/>
      <c r="W39" s="243"/>
      <c r="X39" s="186"/>
      <c r="Y39" s="186"/>
      <c r="Z39" s="186"/>
      <c r="AA39" s="186"/>
      <c r="AB39" s="186"/>
      <c r="AC39" s="182"/>
      <c r="AD39" s="12"/>
    </row>
    <row r="40" spans="1:41" ht="15.75" customHeight="1" x14ac:dyDescent="0.25">
      <c r="A40" s="15"/>
      <c r="B40" s="97"/>
      <c r="C40" s="264" t="s">
        <v>32</v>
      </c>
      <c r="D40" s="265"/>
      <c r="E40" s="265"/>
      <c r="F40" s="171"/>
      <c r="G40" s="171"/>
      <c r="H40" s="15"/>
      <c r="I40" s="4"/>
      <c r="J40" s="265" t="s">
        <v>33</v>
      </c>
      <c r="K40" s="265"/>
      <c r="L40" s="32"/>
      <c r="M40" s="277" t="s">
        <v>187</v>
      </c>
      <c r="N40" s="278"/>
      <c r="O40" s="278"/>
      <c r="P40" s="278"/>
      <c r="Q40" s="278"/>
      <c r="R40" s="279"/>
      <c r="S40" s="12"/>
      <c r="T40" s="12"/>
      <c r="U40" s="12"/>
      <c r="V40" s="15"/>
      <c r="W40" s="243"/>
      <c r="X40" s="185"/>
      <c r="Y40" s="185"/>
      <c r="Z40" s="185"/>
      <c r="AA40" s="185"/>
      <c r="AB40" s="185"/>
      <c r="AC40" s="184"/>
      <c r="AD40" s="12"/>
    </row>
    <row r="41" spans="1:41" ht="16.5" customHeight="1" x14ac:dyDescent="0.25">
      <c r="A41" s="17"/>
      <c r="B41" s="5"/>
      <c r="C41" s="264" t="s">
        <v>34</v>
      </c>
      <c r="D41" s="265"/>
      <c r="E41" s="265"/>
      <c r="F41" s="265"/>
      <c r="G41" s="265"/>
      <c r="H41" s="15"/>
      <c r="I41" s="6"/>
      <c r="J41" s="265" t="s">
        <v>35</v>
      </c>
      <c r="K41" s="265"/>
      <c r="L41" s="33"/>
      <c r="M41" s="280"/>
      <c r="N41" s="281"/>
      <c r="O41" s="275">
        <f>L2</f>
        <v>0</v>
      </c>
      <c r="P41" s="276"/>
      <c r="Q41" s="282" t="e">
        <f>(M41/8)/O41</f>
        <v>#DIV/0!</v>
      </c>
      <c r="R41" s="283"/>
      <c r="S41" s="12"/>
      <c r="T41" s="12"/>
      <c r="U41" s="12"/>
      <c r="V41" s="33"/>
      <c r="W41" s="243"/>
      <c r="X41" s="186"/>
      <c r="Y41" s="186"/>
      <c r="Z41" s="186"/>
      <c r="AA41" s="186"/>
      <c r="AB41" s="186"/>
      <c r="AC41" s="188"/>
      <c r="AD41" s="12"/>
    </row>
    <row r="42" spans="1:41" ht="15" customHeight="1" x14ac:dyDescent="0.25">
      <c r="A42" s="15"/>
      <c r="B42" s="67"/>
      <c r="C42" s="264" t="s">
        <v>37</v>
      </c>
      <c r="D42" s="265"/>
      <c r="E42" s="265"/>
      <c r="F42" s="265"/>
      <c r="G42" s="265"/>
      <c r="H42" s="265"/>
      <c r="I42" s="15"/>
      <c r="J42" s="171"/>
      <c r="K42" s="33"/>
      <c r="L42" s="33"/>
      <c r="M42" s="280"/>
      <c r="N42" s="281"/>
      <c r="O42" s="275"/>
      <c r="P42" s="276"/>
      <c r="Q42" s="238" t="s">
        <v>59</v>
      </c>
      <c r="R42" s="239"/>
      <c r="S42" s="12"/>
      <c r="T42" s="12"/>
      <c r="U42" s="12"/>
      <c r="V42" s="33"/>
      <c r="W42" s="33"/>
      <c r="X42" s="33"/>
      <c r="Y42" s="12"/>
      <c r="Z42" s="12"/>
      <c r="AA42" s="12"/>
      <c r="AB42" s="12"/>
      <c r="AC42" s="12"/>
      <c r="AD42" s="12"/>
    </row>
    <row r="43" spans="1:41" ht="15.75" customHeight="1" thickBot="1" x14ac:dyDescent="0.3">
      <c r="A43" s="15"/>
      <c r="B43" s="199"/>
      <c r="C43" s="272" t="s">
        <v>420</v>
      </c>
      <c r="D43" s="272"/>
      <c r="E43" s="272"/>
      <c r="F43" s="272"/>
      <c r="G43" s="272"/>
      <c r="H43" s="13"/>
      <c r="I43" s="13"/>
      <c r="J43" s="13"/>
      <c r="K43" s="13"/>
      <c r="L43" s="13"/>
      <c r="M43" s="273" t="s">
        <v>61</v>
      </c>
      <c r="N43" s="274"/>
      <c r="O43" s="284" t="s">
        <v>58</v>
      </c>
      <c r="P43" s="285"/>
      <c r="Q43" s="236" t="s">
        <v>60</v>
      </c>
      <c r="R43" s="237"/>
      <c r="S43" s="12"/>
      <c r="T43" s="12"/>
      <c r="U43" s="12"/>
      <c r="V43" s="86"/>
      <c r="W43" s="245" t="s">
        <v>36</v>
      </c>
      <c r="X43" s="245"/>
      <c r="Y43" s="246"/>
      <c r="Z43" s="247">
        <f>ROUNDUP(SUM(H14,O14,V14,AC14,H25,O25,V25,AC25,H36,O36,V36,AC36,AC41)+IF(C50&gt;1,0.5,0)+IF(C51&gt;1,0.5,0),1)</f>
        <v>0</v>
      </c>
      <c r="AA43" s="248"/>
      <c r="AB43" s="251" t="e">
        <f>IF((Z43=X2),"ü","û")</f>
        <v>#N/A</v>
      </c>
      <c r="AC43" s="12"/>
      <c r="AD43" s="12"/>
    </row>
    <row r="44" spans="1:41" ht="15.75" customHeight="1" x14ac:dyDescent="0.25">
      <c r="A44" s="15"/>
      <c r="B44" s="12"/>
      <c r="C44" s="272"/>
      <c r="D44" s="272"/>
      <c r="E44" s="272"/>
      <c r="F44" s="272"/>
      <c r="G44" s="272"/>
      <c r="H44" s="12"/>
      <c r="I44" s="12"/>
      <c r="J44" s="12"/>
      <c r="K44" s="12"/>
      <c r="L44" s="12"/>
      <c r="M44" s="234" t="s">
        <v>165</v>
      </c>
      <c r="N44" s="234"/>
      <c r="O44" s="234"/>
      <c r="P44" s="234"/>
      <c r="Q44" s="234"/>
      <c r="R44" s="234"/>
      <c r="S44" s="170"/>
      <c r="T44" s="12"/>
      <c r="U44" s="12"/>
      <c r="V44" s="12"/>
      <c r="W44" s="245"/>
      <c r="X44" s="245"/>
      <c r="Y44" s="246"/>
      <c r="Z44" s="249"/>
      <c r="AA44" s="250"/>
      <c r="AB44" s="251"/>
      <c r="AC44" s="12"/>
      <c r="AD44" s="12"/>
    </row>
    <row r="45" spans="1:41" ht="17.25" customHeight="1" x14ac:dyDescent="0.25">
      <c r="A45" s="15"/>
      <c r="B45" s="12"/>
      <c r="C45" s="12"/>
      <c r="D45" s="12"/>
      <c r="E45" s="12"/>
      <c r="F45" s="12"/>
      <c r="G45" s="12"/>
      <c r="H45" s="12"/>
      <c r="I45" s="12"/>
      <c r="J45" s="12"/>
      <c r="K45" s="12"/>
      <c r="L45" s="12"/>
      <c r="M45" s="235"/>
      <c r="N45" s="235"/>
      <c r="O45" s="235"/>
      <c r="P45" s="235"/>
      <c r="Q45" s="235"/>
      <c r="R45" s="235"/>
      <c r="S45" s="12"/>
      <c r="T45" s="12"/>
      <c r="U45" s="12"/>
      <c r="V45" s="12"/>
      <c r="W45" s="12"/>
      <c r="X45" s="244" t="s">
        <v>52</v>
      </c>
      <c r="Y45" s="244"/>
      <c r="Z45" s="244"/>
      <c r="AA45" s="244"/>
      <c r="AB45" s="17"/>
      <c r="AC45" s="12"/>
      <c r="AD45" s="68"/>
      <c r="AE45" s="85"/>
      <c r="AF45" s="85"/>
      <c r="AG45" s="85"/>
      <c r="AH45" s="85"/>
      <c r="AI45" s="85"/>
      <c r="AJ45" s="85"/>
      <c r="AK45" s="85"/>
      <c r="AL45" s="85"/>
      <c r="AM45" s="85"/>
      <c r="AN45" s="85"/>
      <c r="AO45" s="41"/>
    </row>
    <row r="46" spans="1:41" ht="15.75" customHeight="1" thickBot="1" x14ac:dyDescent="0.3">
      <c r="A46" s="15"/>
      <c r="B46" s="12"/>
      <c r="C46" s="12"/>
      <c r="D46" s="12"/>
      <c r="E46" s="12"/>
      <c r="F46" s="12"/>
      <c r="G46" s="12"/>
      <c r="H46" s="12"/>
      <c r="I46" s="12"/>
      <c r="J46" s="12"/>
      <c r="K46" s="12"/>
      <c r="L46" s="12"/>
      <c r="M46" s="219" t="s">
        <v>430</v>
      </c>
      <c r="N46" s="220"/>
      <c r="O46" s="220"/>
      <c r="P46" s="220"/>
      <c r="Q46" s="220"/>
      <c r="R46" s="220"/>
      <c r="S46" s="220"/>
      <c r="T46" s="220"/>
      <c r="U46" s="220"/>
      <c r="V46" s="220"/>
      <c r="W46" s="220"/>
      <c r="X46" s="220"/>
      <c r="Y46" s="220"/>
      <c r="Z46" s="220"/>
      <c r="AA46" s="220"/>
      <c r="AB46" s="220"/>
      <c r="AC46" s="220"/>
      <c r="AD46" s="68"/>
      <c r="AE46" s="85"/>
      <c r="AF46" s="85"/>
      <c r="AG46" s="85"/>
      <c r="AH46" s="85"/>
      <c r="AI46" s="85"/>
      <c r="AJ46" s="85"/>
      <c r="AK46" s="85"/>
      <c r="AL46" s="85"/>
      <c r="AM46" s="85"/>
      <c r="AN46" s="85"/>
      <c r="AO46" s="41"/>
    </row>
    <row r="47" spans="1:41" ht="15.75" customHeight="1" x14ac:dyDescent="0.25">
      <c r="A47" s="15"/>
      <c r="B47" s="266" t="s">
        <v>38</v>
      </c>
      <c r="C47" s="267"/>
      <c r="D47" s="267"/>
      <c r="E47" s="267"/>
      <c r="F47" s="267"/>
      <c r="G47" s="267"/>
      <c r="H47" s="267"/>
      <c r="I47" s="267"/>
      <c r="J47" s="267"/>
      <c r="K47" s="268"/>
      <c r="L47" s="15"/>
      <c r="M47" s="220"/>
      <c r="N47" s="220"/>
      <c r="O47" s="220"/>
      <c r="P47" s="220"/>
      <c r="Q47" s="220"/>
      <c r="R47" s="220"/>
      <c r="S47" s="220"/>
      <c r="T47" s="220"/>
      <c r="U47" s="220"/>
      <c r="V47" s="220"/>
      <c r="W47" s="220"/>
      <c r="X47" s="220"/>
      <c r="Y47" s="220"/>
      <c r="Z47" s="220"/>
      <c r="AA47" s="220"/>
      <c r="AB47" s="220"/>
      <c r="AC47" s="220"/>
      <c r="AD47" s="12"/>
    </row>
    <row r="48" spans="1:41" ht="15" customHeight="1" x14ac:dyDescent="0.25">
      <c r="A48" s="15"/>
      <c r="B48" s="226" t="s">
        <v>39</v>
      </c>
      <c r="C48" s="227"/>
      <c r="D48" s="227"/>
      <c r="E48" s="227"/>
      <c r="F48" s="227"/>
      <c r="G48" s="227"/>
      <c r="H48" s="227"/>
      <c r="I48" s="227"/>
      <c r="J48" s="227"/>
      <c r="K48" s="228"/>
      <c r="L48" s="15"/>
      <c r="M48" s="223"/>
      <c r="N48" s="223"/>
      <c r="O48" s="223"/>
      <c r="P48" s="223"/>
      <c r="Q48" s="223"/>
      <c r="R48" s="223"/>
      <c r="S48" s="223"/>
      <c r="T48" s="223"/>
      <c r="U48" s="223"/>
      <c r="V48" s="223"/>
      <c r="W48" s="223"/>
      <c r="X48" s="223"/>
      <c r="Y48" s="223"/>
      <c r="Z48" s="57"/>
      <c r="AA48" s="57"/>
      <c r="AB48" s="57"/>
      <c r="AC48" s="57"/>
      <c r="AD48" s="12"/>
    </row>
    <row r="49" spans="1:30" x14ac:dyDescent="0.25">
      <c r="A49" s="15"/>
      <c r="B49" s="226"/>
      <c r="C49" s="227"/>
      <c r="D49" s="227"/>
      <c r="E49" s="227"/>
      <c r="F49" s="227"/>
      <c r="G49" s="227"/>
      <c r="H49" s="227"/>
      <c r="I49" s="227"/>
      <c r="J49" s="227"/>
      <c r="K49" s="228"/>
      <c r="L49" s="15"/>
      <c r="M49" s="224"/>
      <c r="N49" s="224"/>
      <c r="O49" s="224"/>
      <c r="P49" s="224"/>
      <c r="Q49" s="224"/>
      <c r="R49" s="224"/>
      <c r="S49" s="224"/>
      <c r="T49" s="224"/>
      <c r="U49" s="224"/>
      <c r="V49" s="224"/>
      <c r="W49" s="224"/>
      <c r="X49" s="224"/>
      <c r="Y49" s="224"/>
      <c r="Z49" s="57"/>
      <c r="AA49" s="57"/>
      <c r="AB49" s="57"/>
      <c r="AC49" s="57"/>
      <c r="AD49" s="12"/>
    </row>
    <row r="50" spans="1:30" x14ac:dyDescent="0.25">
      <c r="A50" s="17"/>
      <c r="B50" s="118" t="s">
        <v>40</v>
      </c>
      <c r="C50" s="232"/>
      <c r="D50" s="232"/>
      <c r="E50" s="232"/>
      <c r="F50" s="117">
        <v>0.5</v>
      </c>
      <c r="G50" s="14" t="s">
        <v>166</v>
      </c>
      <c r="H50" s="232"/>
      <c r="I50" s="232"/>
      <c r="J50" s="221" t="s">
        <v>168</v>
      </c>
      <c r="K50" s="222"/>
      <c r="L50" s="15"/>
      <c r="M50" s="39" t="s">
        <v>169</v>
      </c>
      <c r="N50" s="120"/>
      <c r="O50" s="120"/>
      <c r="P50" s="120"/>
      <c r="Q50" s="120"/>
      <c r="R50" s="120"/>
      <c r="S50" s="120"/>
      <c r="T50" s="15"/>
      <c r="U50" s="15"/>
      <c r="V50" s="15"/>
      <c r="W50" s="15"/>
      <c r="X50" s="15"/>
      <c r="Y50" s="15"/>
      <c r="Z50" s="57"/>
      <c r="AA50" s="57"/>
      <c r="AB50" s="57"/>
      <c r="AC50" s="57"/>
      <c r="AD50" s="12"/>
    </row>
    <row r="51" spans="1:30" x14ac:dyDescent="0.25">
      <c r="A51" s="15"/>
      <c r="B51" s="119" t="s">
        <v>41</v>
      </c>
      <c r="C51" s="232"/>
      <c r="D51" s="232"/>
      <c r="E51" s="232"/>
      <c r="F51" s="117">
        <v>0.5</v>
      </c>
      <c r="G51" s="16" t="s">
        <v>167</v>
      </c>
      <c r="H51" s="233"/>
      <c r="I51" s="233"/>
      <c r="J51" s="221" t="s">
        <v>168</v>
      </c>
      <c r="K51" s="222"/>
      <c r="L51" s="15"/>
      <c r="M51" s="225"/>
      <c r="N51" s="225"/>
      <c r="O51" s="225"/>
      <c r="P51" s="225"/>
      <c r="Q51" s="225"/>
      <c r="R51" s="225"/>
      <c r="S51" s="225"/>
      <c r="T51" s="225"/>
      <c r="U51" s="225"/>
      <c r="V51" s="225"/>
      <c r="W51" s="225"/>
      <c r="X51" s="225"/>
      <c r="Y51" s="225"/>
      <c r="Z51" s="57"/>
      <c r="AA51" s="57"/>
      <c r="AB51" s="57"/>
      <c r="AC51" s="57"/>
      <c r="AD51" s="12"/>
    </row>
    <row r="52" spans="1:30" ht="15.75" thickBot="1" x14ac:dyDescent="0.3">
      <c r="A52" s="17"/>
      <c r="B52" s="18"/>
      <c r="C52" s="80"/>
      <c r="D52" s="81"/>
      <c r="E52" s="116"/>
      <c r="F52" s="116"/>
      <c r="G52" s="116"/>
      <c r="H52" s="82"/>
      <c r="I52" s="83"/>
      <c r="J52" s="83"/>
      <c r="K52" s="84"/>
      <c r="L52" s="15"/>
      <c r="M52" s="225"/>
      <c r="N52" s="225"/>
      <c r="O52" s="225"/>
      <c r="P52" s="225"/>
      <c r="Q52" s="225"/>
      <c r="R52" s="225"/>
      <c r="S52" s="225"/>
      <c r="T52" s="225"/>
      <c r="U52" s="225"/>
      <c r="V52" s="225"/>
      <c r="W52" s="225"/>
      <c r="X52" s="225"/>
      <c r="Y52" s="225"/>
      <c r="Z52" s="57"/>
      <c r="AA52" s="57"/>
      <c r="AB52" s="57"/>
      <c r="AC52" s="57"/>
      <c r="AD52" s="12"/>
    </row>
    <row r="53" spans="1:30" ht="15.75" thickBot="1" x14ac:dyDescent="0.3">
      <c r="A53" s="17"/>
      <c r="B53" s="17"/>
      <c r="C53" s="17"/>
      <c r="D53" s="17"/>
      <c r="E53" s="17"/>
      <c r="F53" s="17"/>
      <c r="G53" s="17"/>
      <c r="H53" s="17"/>
      <c r="I53" s="17"/>
      <c r="J53" s="17"/>
      <c r="K53" s="17"/>
      <c r="L53" s="17"/>
      <c r="M53" s="114" t="s">
        <v>170</v>
      </c>
      <c r="N53" s="114"/>
      <c r="O53" s="114"/>
      <c r="P53" s="114"/>
      <c r="Q53" s="114"/>
      <c r="R53" s="32"/>
      <c r="S53" s="32"/>
      <c r="T53" s="32"/>
      <c r="U53" s="32"/>
      <c r="V53" s="32"/>
      <c r="W53" s="32"/>
      <c r="X53" s="32"/>
      <c r="Y53" s="32"/>
      <c r="Z53" s="17"/>
      <c r="AA53" s="17"/>
      <c r="AB53" s="17"/>
      <c r="AC53" s="17"/>
      <c r="AD53" s="12"/>
    </row>
    <row r="54" spans="1:30" ht="31.5" customHeight="1" thickBot="1" x14ac:dyDescent="0.3">
      <c r="A54" s="41"/>
      <c r="B54" s="295" t="s">
        <v>427</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1"/>
      <c r="AD54" s="12"/>
    </row>
    <row r="55" spans="1:30" x14ac:dyDescent="0.25">
      <c r="A55" s="41"/>
      <c r="AD55" s="41"/>
    </row>
  </sheetData>
  <sheetProtection algorithmName="SHA-512" hashValue="4sRCZzdLwWX79hXCjTIRSKxQdt90qiegDWFXlYPxYo/djPsBmqgmQBFG6+N1rpsysJ4V8IWjsY1uzKlRKfEBdQ==" saltValue="X4DHy24qwZfDCGbwmuedqg==" spinCount="100000" sheet="1" selectLockedCells="1"/>
  <mergeCells count="61">
    <mergeCell ref="C43:G44"/>
    <mergeCell ref="W16:W25"/>
    <mergeCell ref="Q42:R42"/>
    <mergeCell ref="B5:B14"/>
    <mergeCell ref="I5:I14"/>
    <mergeCell ref="B16:B25"/>
    <mergeCell ref="I16:I25"/>
    <mergeCell ref="C42:H42"/>
    <mergeCell ref="M48:Y49"/>
    <mergeCell ref="B1:C1"/>
    <mergeCell ref="O1:P1"/>
    <mergeCell ref="D1:L1"/>
    <mergeCell ref="J41:K41"/>
    <mergeCell ref="B27:B36"/>
    <mergeCell ref="I27:I36"/>
    <mergeCell ref="P27:P36"/>
    <mergeCell ref="J39:K39"/>
    <mergeCell ref="J40:K40"/>
    <mergeCell ref="C39:D39"/>
    <mergeCell ref="C40:E40"/>
    <mergeCell ref="C41:G41"/>
    <mergeCell ref="J2:K2"/>
    <mergeCell ref="O2:T2"/>
    <mergeCell ref="D2:I2"/>
    <mergeCell ref="X45:AA45"/>
    <mergeCell ref="M43:N43"/>
    <mergeCell ref="O43:P43"/>
    <mergeCell ref="M2:N2"/>
    <mergeCell ref="P5:P14"/>
    <mergeCell ref="Q41:R41"/>
    <mergeCell ref="M40:R40"/>
    <mergeCell ref="M41:N42"/>
    <mergeCell ref="O41:P42"/>
    <mergeCell ref="P16:P25"/>
    <mergeCell ref="Q43:R43"/>
    <mergeCell ref="W43:Y44"/>
    <mergeCell ref="Z43:AA44"/>
    <mergeCell ref="W5:W14"/>
    <mergeCell ref="W27:W36"/>
    <mergeCell ref="W38:W41"/>
    <mergeCell ref="AA1:AB1"/>
    <mergeCell ref="AC1:AD1"/>
    <mergeCell ref="S1:T1"/>
    <mergeCell ref="V1:W1"/>
    <mergeCell ref="X1:Y1"/>
    <mergeCell ref="M46:AC47"/>
    <mergeCell ref="U2:W2"/>
    <mergeCell ref="B2:C2"/>
    <mergeCell ref="B54:AC54"/>
    <mergeCell ref="J50:K50"/>
    <mergeCell ref="C51:E51"/>
    <mergeCell ref="H51:I51"/>
    <mergeCell ref="J51:K51"/>
    <mergeCell ref="M51:Y52"/>
    <mergeCell ref="C50:E50"/>
    <mergeCell ref="H50:I50"/>
    <mergeCell ref="B47:K47"/>
    <mergeCell ref="B48:K49"/>
    <mergeCell ref="X2:Y2"/>
    <mergeCell ref="AB43:AB44"/>
    <mergeCell ref="M44:R45"/>
  </mergeCells>
  <conditionalFormatting sqref="Z43">
    <cfRule type="cellIs" dxfId="1791" priority="3747" operator="lessThan">
      <formula>$X$2</formula>
    </cfRule>
    <cfRule type="cellIs" dxfId="1790" priority="3748" operator="greaterThan">
      <formula>$X$2</formula>
    </cfRule>
  </conditionalFormatting>
  <conditionalFormatting sqref="M41">
    <cfRule type="cellIs" dxfId="1789" priority="3744" operator="greaterThan">
      <formula>0</formula>
    </cfRule>
  </conditionalFormatting>
  <conditionalFormatting sqref="X38">
    <cfRule type="cellIs" dxfId="1788" priority="2420" operator="greaterThanOrEqual">
      <formula>6</formula>
    </cfRule>
    <cfRule type="cellIs" dxfId="1787" priority="2421" operator="between">
      <formula>0.1</formula>
      <formula>5.9</formula>
    </cfRule>
    <cfRule type="expression" dxfId="1786" priority="2423">
      <formula>X39=""</formula>
    </cfRule>
  </conditionalFormatting>
  <conditionalFormatting sqref="Y38:AB38">
    <cfRule type="cellIs" dxfId="1785" priority="2404" operator="greaterThanOrEqual">
      <formula>6</formula>
    </cfRule>
    <cfRule type="cellIs" dxfId="1784" priority="2405" operator="between">
      <formula>0.1</formula>
      <formula>5.9</formula>
    </cfRule>
    <cfRule type="expression" dxfId="1783" priority="2407">
      <formula>Y39=""</formula>
    </cfRule>
  </conditionalFormatting>
  <conditionalFormatting sqref="X40">
    <cfRule type="cellIs" dxfId="1782" priority="2388" operator="greaterThanOrEqual">
      <formula>6</formula>
    </cfRule>
    <cfRule type="cellIs" dxfId="1781" priority="2389" operator="between">
      <formula>0.1</formula>
      <formula>5.9</formula>
    </cfRule>
    <cfRule type="expression" dxfId="1780" priority="2391">
      <formula>X41=""</formula>
    </cfRule>
  </conditionalFormatting>
  <conditionalFormatting sqref="Y40:AB40">
    <cfRule type="cellIs" dxfId="1779" priority="2382" operator="greaterThanOrEqual">
      <formula>6</formula>
    </cfRule>
    <cfRule type="cellIs" dxfId="1778" priority="2383" operator="between">
      <formula>0.1</formula>
      <formula>5.9</formula>
    </cfRule>
    <cfRule type="expression" dxfId="1777" priority="2385">
      <formula>Y41=""</formula>
    </cfRule>
  </conditionalFormatting>
  <conditionalFormatting sqref="D1:L1">
    <cfRule type="containsBlanks" dxfId="1776" priority="2380">
      <formula>LEN(TRIM(D1))=0</formula>
    </cfRule>
  </conditionalFormatting>
  <conditionalFormatting sqref="O1:P1">
    <cfRule type="containsBlanks" dxfId="1775" priority="2379">
      <formula>LEN(TRIM(O1))=0</formula>
    </cfRule>
  </conditionalFormatting>
  <conditionalFormatting sqref="D2">
    <cfRule type="containsBlanks" dxfId="1774" priority="2378">
      <formula>LEN(TRIM(D2))=0</formula>
    </cfRule>
  </conditionalFormatting>
  <conditionalFormatting sqref="L2">
    <cfRule type="containsBlanks" dxfId="1773" priority="2377">
      <formula>LEN(TRIM(L2))=0</formula>
    </cfRule>
  </conditionalFormatting>
  <conditionalFormatting sqref="X1:Y1">
    <cfRule type="containsBlanks" dxfId="1772" priority="2376">
      <formula>LEN(TRIM(X1))=0</formula>
    </cfRule>
  </conditionalFormatting>
  <conditionalFormatting sqref="C50:E51 H50:I51">
    <cfRule type="containsBlanks" dxfId="1771" priority="2375">
      <formula>LEN(TRIM(C50))=0</formula>
    </cfRule>
  </conditionalFormatting>
  <conditionalFormatting sqref="O2:T2">
    <cfRule type="containsBlanks" dxfId="1770" priority="2374">
      <formula>LEN(TRIM(O2))=0</formula>
    </cfRule>
  </conditionalFormatting>
  <conditionalFormatting sqref="C5">
    <cfRule type="cellIs" dxfId="1769" priority="2369" operator="greaterThanOrEqual">
      <formula>6</formula>
    </cfRule>
    <cfRule type="cellIs" dxfId="1768" priority="2370" operator="between">
      <formula>0.1</formula>
      <formula>5.9</formula>
    </cfRule>
    <cfRule type="expression" dxfId="1767" priority="2372">
      <formula>C6=""</formula>
    </cfRule>
  </conditionalFormatting>
  <conditionalFormatting sqref="D5">
    <cfRule type="cellIs" dxfId="1766" priority="2357" operator="greaterThanOrEqual">
      <formula>6</formula>
    </cfRule>
    <cfRule type="cellIs" dxfId="1765" priority="2358" operator="between">
      <formula>0.1</formula>
      <formula>5.9</formula>
    </cfRule>
    <cfRule type="expression" dxfId="1764" priority="2360">
      <formula>D6=""</formula>
    </cfRule>
  </conditionalFormatting>
  <conditionalFormatting sqref="E5:G5">
    <cfRule type="cellIs" dxfId="1763" priority="2345" operator="greaterThanOrEqual">
      <formula>6</formula>
    </cfRule>
    <cfRule type="cellIs" dxfId="1762" priority="2346" operator="between">
      <formula>0.1</formula>
      <formula>5.9</formula>
    </cfRule>
    <cfRule type="expression" dxfId="1761" priority="2348">
      <formula>E6=""</formula>
    </cfRule>
  </conditionalFormatting>
  <conditionalFormatting sqref="C7">
    <cfRule type="cellIs" dxfId="1760" priority="2333" operator="greaterThanOrEqual">
      <formula>6</formula>
    </cfRule>
    <cfRule type="cellIs" dxfId="1759" priority="2334" operator="between">
      <formula>0.1</formula>
      <formula>5.9</formula>
    </cfRule>
    <cfRule type="expression" dxfId="1758" priority="2336">
      <formula>C8=""</formula>
    </cfRule>
  </conditionalFormatting>
  <conditionalFormatting sqref="D7">
    <cfRule type="cellIs" dxfId="1757" priority="2321" operator="greaterThanOrEqual">
      <formula>6</formula>
    </cfRule>
    <cfRule type="cellIs" dxfId="1756" priority="2322" operator="between">
      <formula>0.1</formula>
      <formula>5.9</formula>
    </cfRule>
    <cfRule type="expression" dxfId="1755" priority="2324">
      <formula>D8=""</formula>
    </cfRule>
  </conditionalFormatting>
  <conditionalFormatting sqref="E7:G7">
    <cfRule type="cellIs" dxfId="1754" priority="2309" operator="greaterThanOrEqual">
      <formula>6</formula>
    </cfRule>
    <cfRule type="cellIs" dxfId="1753" priority="2310" operator="between">
      <formula>0.1</formula>
      <formula>5.9</formula>
    </cfRule>
    <cfRule type="expression" dxfId="1752" priority="2312">
      <formula>E8=""</formula>
    </cfRule>
  </conditionalFormatting>
  <conditionalFormatting sqref="C9">
    <cfRule type="cellIs" dxfId="1751" priority="2297" operator="greaterThanOrEqual">
      <formula>6</formula>
    </cfRule>
    <cfRule type="cellIs" dxfId="1750" priority="2298" operator="between">
      <formula>0.1</formula>
      <formula>5.9</formula>
    </cfRule>
    <cfRule type="expression" dxfId="1749" priority="2300">
      <formula>C10=""</formula>
    </cfRule>
  </conditionalFormatting>
  <conditionalFormatting sqref="D9">
    <cfRule type="cellIs" dxfId="1748" priority="2285" operator="greaterThanOrEqual">
      <formula>6</formula>
    </cfRule>
    <cfRule type="cellIs" dxfId="1747" priority="2286" operator="between">
      <formula>0.1</formula>
      <formula>5.9</formula>
    </cfRule>
    <cfRule type="expression" dxfId="1746" priority="2288">
      <formula>D10=""</formula>
    </cfRule>
  </conditionalFormatting>
  <conditionalFormatting sqref="E9:G9">
    <cfRule type="cellIs" dxfId="1745" priority="2273" operator="greaterThanOrEqual">
      <formula>6</formula>
    </cfRule>
    <cfRule type="cellIs" dxfId="1744" priority="2274" operator="between">
      <formula>0.1</formula>
      <formula>5.9</formula>
    </cfRule>
    <cfRule type="expression" dxfId="1743" priority="2276">
      <formula>E10=""</formula>
    </cfRule>
  </conditionalFormatting>
  <conditionalFormatting sqref="C11">
    <cfRule type="cellIs" dxfId="1742" priority="2261" operator="greaterThanOrEqual">
      <formula>6</formula>
    </cfRule>
    <cfRule type="cellIs" dxfId="1741" priority="2262" operator="between">
      <formula>0.1</formula>
      <formula>5.9</formula>
    </cfRule>
    <cfRule type="expression" dxfId="1740" priority="2264">
      <formula>C12=""</formula>
    </cfRule>
  </conditionalFormatting>
  <conditionalFormatting sqref="D11">
    <cfRule type="cellIs" dxfId="1739" priority="2249" operator="greaterThanOrEqual">
      <formula>6</formula>
    </cfRule>
    <cfRule type="cellIs" dxfId="1738" priority="2250" operator="between">
      <formula>0.1</formula>
      <formula>5.9</formula>
    </cfRule>
    <cfRule type="expression" dxfId="1737" priority="2252">
      <formula>D12=""</formula>
    </cfRule>
  </conditionalFormatting>
  <conditionalFormatting sqref="E11:G11">
    <cfRule type="cellIs" dxfId="1736" priority="2237" operator="greaterThanOrEqual">
      <formula>6</formula>
    </cfRule>
    <cfRule type="cellIs" dxfId="1735" priority="2238" operator="between">
      <formula>0.1</formula>
      <formula>5.9</formula>
    </cfRule>
    <cfRule type="expression" dxfId="1734" priority="2240">
      <formula>E12=""</formula>
    </cfRule>
  </conditionalFormatting>
  <conditionalFormatting sqref="C13">
    <cfRule type="cellIs" dxfId="1733" priority="2225" operator="greaterThanOrEqual">
      <formula>6</formula>
    </cfRule>
    <cfRule type="cellIs" dxfId="1732" priority="2226" operator="between">
      <formula>0.1</formula>
      <formula>5.9</formula>
    </cfRule>
    <cfRule type="expression" dxfId="1731" priority="2228">
      <formula>C14=""</formula>
    </cfRule>
  </conditionalFormatting>
  <conditionalFormatting sqref="D13">
    <cfRule type="cellIs" dxfId="1730" priority="2213" operator="greaterThanOrEqual">
      <formula>6</formula>
    </cfRule>
    <cfRule type="cellIs" dxfId="1729" priority="2214" operator="between">
      <formula>0.1</formula>
      <formula>5.9</formula>
    </cfRule>
    <cfRule type="expression" dxfId="1728" priority="2216">
      <formula>D14=""</formula>
    </cfRule>
  </conditionalFormatting>
  <conditionalFormatting sqref="E13:G13">
    <cfRule type="cellIs" dxfId="1727" priority="2201" operator="greaterThanOrEqual">
      <formula>6</formula>
    </cfRule>
    <cfRule type="cellIs" dxfId="1726" priority="2202" operator="between">
      <formula>0.1</formula>
      <formula>5.9</formula>
    </cfRule>
    <cfRule type="expression" dxfId="1725" priority="2204">
      <formula>E14=""</formula>
    </cfRule>
  </conditionalFormatting>
  <conditionalFormatting sqref="J5">
    <cfRule type="cellIs" dxfId="1724" priority="2189" operator="greaterThanOrEqual">
      <formula>6</formula>
    </cfRule>
    <cfRule type="cellIs" dxfId="1723" priority="2190" operator="between">
      <formula>0.1</formula>
      <formula>5.9</formula>
    </cfRule>
    <cfRule type="expression" dxfId="1722" priority="2192">
      <formula>J6=""</formula>
    </cfRule>
  </conditionalFormatting>
  <conditionalFormatting sqref="K5">
    <cfRule type="cellIs" dxfId="1721" priority="2177" operator="greaterThanOrEqual">
      <formula>6</formula>
    </cfRule>
    <cfRule type="cellIs" dxfId="1720" priority="2178" operator="between">
      <formula>0.1</formula>
      <formula>5.9</formula>
    </cfRule>
    <cfRule type="expression" dxfId="1719" priority="2180">
      <formula>K6=""</formula>
    </cfRule>
  </conditionalFormatting>
  <conditionalFormatting sqref="L5:N5">
    <cfRule type="cellIs" dxfId="1718" priority="2165" operator="greaterThanOrEqual">
      <formula>6</formula>
    </cfRule>
    <cfRule type="cellIs" dxfId="1717" priority="2166" operator="between">
      <formula>0.1</formula>
      <formula>5.9</formula>
    </cfRule>
    <cfRule type="expression" dxfId="1716" priority="2168">
      <formula>L6=""</formula>
    </cfRule>
  </conditionalFormatting>
  <conditionalFormatting sqref="J7">
    <cfRule type="cellIs" dxfId="1715" priority="2153" operator="greaterThanOrEqual">
      <formula>6</formula>
    </cfRule>
    <cfRule type="cellIs" dxfId="1714" priority="2154" operator="between">
      <formula>0.1</formula>
      <formula>5.9</formula>
    </cfRule>
    <cfRule type="expression" dxfId="1713" priority="2156">
      <formula>J8=""</formula>
    </cfRule>
  </conditionalFormatting>
  <conditionalFormatting sqref="K7">
    <cfRule type="cellIs" dxfId="1712" priority="2141" operator="greaterThanOrEqual">
      <formula>6</formula>
    </cfRule>
    <cfRule type="cellIs" dxfId="1711" priority="2142" operator="between">
      <formula>0.1</formula>
      <formula>5.9</formula>
    </cfRule>
    <cfRule type="expression" dxfId="1710" priority="2144">
      <formula>K8=""</formula>
    </cfRule>
  </conditionalFormatting>
  <conditionalFormatting sqref="L7:N7">
    <cfRule type="cellIs" dxfId="1709" priority="2129" operator="greaterThanOrEqual">
      <formula>6</formula>
    </cfRule>
    <cfRule type="cellIs" dxfId="1708" priority="2130" operator="between">
      <formula>0.1</formula>
      <formula>5.9</formula>
    </cfRule>
    <cfRule type="expression" dxfId="1707" priority="2132">
      <formula>L8=""</formula>
    </cfRule>
  </conditionalFormatting>
  <conditionalFormatting sqref="J9">
    <cfRule type="cellIs" dxfId="1706" priority="2117" operator="greaterThanOrEqual">
      <formula>6</formula>
    </cfRule>
    <cfRule type="cellIs" dxfId="1705" priority="2118" operator="between">
      <formula>0.1</formula>
      <formula>5.9</formula>
    </cfRule>
    <cfRule type="expression" dxfId="1704" priority="2120">
      <formula>J10=""</formula>
    </cfRule>
  </conditionalFormatting>
  <conditionalFormatting sqref="K9">
    <cfRule type="cellIs" dxfId="1703" priority="2105" operator="greaterThanOrEqual">
      <formula>6</formula>
    </cfRule>
    <cfRule type="cellIs" dxfId="1702" priority="2106" operator="between">
      <formula>0.1</formula>
      <formula>5.9</formula>
    </cfRule>
    <cfRule type="expression" dxfId="1701" priority="2108">
      <formula>K10=""</formula>
    </cfRule>
  </conditionalFormatting>
  <conditionalFormatting sqref="L9:N9">
    <cfRule type="cellIs" dxfId="1700" priority="2093" operator="greaterThanOrEqual">
      <formula>6</formula>
    </cfRule>
    <cfRule type="cellIs" dxfId="1699" priority="2094" operator="between">
      <formula>0.1</formula>
      <formula>5.9</formula>
    </cfRule>
    <cfRule type="expression" dxfId="1698" priority="2096">
      <formula>L10=""</formula>
    </cfRule>
  </conditionalFormatting>
  <conditionalFormatting sqref="J11">
    <cfRule type="cellIs" dxfId="1697" priority="2081" operator="greaterThanOrEqual">
      <formula>6</formula>
    </cfRule>
    <cfRule type="cellIs" dxfId="1696" priority="2082" operator="between">
      <formula>0.1</formula>
      <formula>5.9</formula>
    </cfRule>
    <cfRule type="expression" dxfId="1695" priority="2084">
      <formula>J12=""</formula>
    </cfRule>
  </conditionalFormatting>
  <conditionalFormatting sqref="K11">
    <cfRule type="cellIs" dxfId="1694" priority="2069" operator="greaterThanOrEqual">
      <formula>6</formula>
    </cfRule>
    <cfRule type="cellIs" dxfId="1693" priority="2070" operator="between">
      <formula>0.1</formula>
      <formula>5.9</formula>
    </cfRule>
    <cfRule type="expression" dxfId="1692" priority="2072">
      <formula>K12=""</formula>
    </cfRule>
  </conditionalFormatting>
  <conditionalFormatting sqref="L11:N11">
    <cfRule type="cellIs" dxfId="1691" priority="2057" operator="greaterThanOrEqual">
      <formula>6</formula>
    </cfRule>
    <cfRule type="cellIs" dxfId="1690" priority="2058" operator="between">
      <formula>0.1</formula>
      <formula>5.9</formula>
    </cfRule>
    <cfRule type="expression" dxfId="1689" priority="2060">
      <formula>L12=""</formula>
    </cfRule>
  </conditionalFormatting>
  <conditionalFormatting sqref="J13">
    <cfRule type="cellIs" dxfId="1688" priority="2045" operator="greaterThanOrEqual">
      <formula>6</formula>
    </cfRule>
    <cfRule type="cellIs" dxfId="1687" priority="2046" operator="between">
      <formula>0.1</formula>
      <formula>5.9</formula>
    </cfRule>
    <cfRule type="expression" dxfId="1686" priority="2048">
      <formula>J14=""</formula>
    </cfRule>
  </conditionalFormatting>
  <conditionalFormatting sqref="K13">
    <cfRule type="cellIs" dxfId="1685" priority="2033" operator="greaterThanOrEqual">
      <formula>6</formula>
    </cfRule>
    <cfRule type="cellIs" dxfId="1684" priority="2034" operator="between">
      <formula>0.1</formula>
      <formula>5.9</formula>
    </cfRule>
    <cfRule type="expression" dxfId="1683" priority="2036">
      <formula>K14=""</formula>
    </cfRule>
  </conditionalFormatting>
  <conditionalFormatting sqref="L13:N13">
    <cfRule type="cellIs" dxfId="1682" priority="2021" operator="greaterThanOrEqual">
      <formula>6</formula>
    </cfRule>
    <cfRule type="cellIs" dxfId="1681" priority="2022" operator="between">
      <formula>0.1</formula>
      <formula>5.9</formula>
    </cfRule>
    <cfRule type="expression" dxfId="1680" priority="2024">
      <formula>L14=""</formula>
    </cfRule>
  </conditionalFormatting>
  <conditionalFormatting sqref="Q5">
    <cfRule type="cellIs" dxfId="1679" priority="2009" operator="greaterThanOrEqual">
      <formula>6</formula>
    </cfRule>
    <cfRule type="cellIs" dxfId="1678" priority="2010" operator="between">
      <formula>0.1</formula>
      <formula>5.9</formula>
    </cfRule>
    <cfRule type="expression" dxfId="1677" priority="2012">
      <formula>Q6=""</formula>
    </cfRule>
  </conditionalFormatting>
  <conditionalFormatting sqref="R5">
    <cfRule type="cellIs" dxfId="1676" priority="1997" operator="greaterThanOrEqual">
      <formula>6</formula>
    </cfRule>
    <cfRule type="cellIs" dxfId="1675" priority="1998" operator="between">
      <formula>0.1</formula>
      <formula>5.9</formula>
    </cfRule>
    <cfRule type="expression" dxfId="1674" priority="2000">
      <formula>R6=""</formula>
    </cfRule>
  </conditionalFormatting>
  <conditionalFormatting sqref="S5:U5">
    <cfRule type="cellIs" dxfId="1673" priority="1985" operator="greaterThanOrEqual">
      <formula>6</formula>
    </cfRule>
    <cfRule type="cellIs" dxfId="1672" priority="1986" operator="between">
      <formula>0.1</formula>
      <formula>5.9</formula>
    </cfRule>
    <cfRule type="expression" dxfId="1671" priority="1988">
      <formula>S6=""</formula>
    </cfRule>
  </conditionalFormatting>
  <conditionalFormatting sqref="Q7">
    <cfRule type="cellIs" dxfId="1670" priority="1973" operator="greaterThanOrEqual">
      <formula>6</formula>
    </cfRule>
    <cfRule type="cellIs" dxfId="1669" priority="1974" operator="between">
      <formula>0.1</formula>
      <formula>5.9</formula>
    </cfRule>
    <cfRule type="expression" dxfId="1668" priority="1976">
      <formula>Q8=""</formula>
    </cfRule>
  </conditionalFormatting>
  <conditionalFormatting sqref="R7">
    <cfRule type="cellIs" dxfId="1667" priority="1961" operator="greaterThanOrEqual">
      <formula>6</formula>
    </cfRule>
    <cfRule type="cellIs" dxfId="1666" priority="1962" operator="between">
      <formula>0.1</formula>
      <formula>5.9</formula>
    </cfRule>
    <cfRule type="expression" dxfId="1665" priority="1964">
      <formula>R8=""</formula>
    </cfRule>
  </conditionalFormatting>
  <conditionalFormatting sqref="S7:U7">
    <cfRule type="cellIs" dxfId="1664" priority="1949" operator="greaterThanOrEqual">
      <formula>6</formula>
    </cfRule>
    <cfRule type="cellIs" dxfId="1663" priority="1950" operator="between">
      <formula>0.1</formula>
      <formula>5.9</formula>
    </cfRule>
    <cfRule type="expression" dxfId="1662" priority="1952">
      <formula>S8=""</formula>
    </cfRule>
  </conditionalFormatting>
  <conditionalFormatting sqref="Q9">
    <cfRule type="cellIs" dxfId="1661" priority="1937" operator="greaterThanOrEqual">
      <formula>6</formula>
    </cfRule>
    <cfRule type="cellIs" dxfId="1660" priority="1938" operator="between">
      <formula>0.1</formula>
      <formula>5.9</formula>
    </cfRule>
    <cfRule type="expression" dxfId="1659" priority="1940">
      <formula>Q10=""</formula>
    </cfRule>
  </conditionalFormatting>
  <conditionalFormatting sqref="R9">
    <cfRule type="cellIs" dxfId="1658" priority="1925" operator="greaterThanOrEqual">
      <formula>6</formula>
    </cfRule>
    <cfRule type="cellIs" dxfId="1657" priority="1926" operator="between">
      <formula>0.1</formula>
      <formula>5.9</formula>
    </cfRule>
    <cfRule type="expression" dxfId="1656" priority="1928">
      <formula>R10=""</formula>
    </cfRule>
  </conditionalFormatting>
  <conditionalFormatting sqref="S9:U9">
    <cfRule type="cellIs" dxfId="1655" priority="1913" operator="greaterThanOrEqual">
      <formula>6</formula>
    </cfRule>
    <cfRule type="cellIs" dxfId="1654" priority="1914" operator="between">
      <formula>0.1</formula>
      <formula>5.9</formula>
    </cfRule>
    <cfRule type="expression" dxfId="1653" priority="1916">
      <formula>S10=""</formula>
    </cfRule>
  </conditionalFormatting>
  <conditionalFormatting sqref="Q11">
    <cfRule type="cellIs" dxfId="1652" priority="1901" operator="greaterThanOrEqual">
      <formula>6</formula>
    </cfRule>
    <cfRule type="cellIs" dxfId="1651" priority="1902" operator="between">
      <formula>0.1</formula>
      <formula>5.9</formula>
    </cfRule>
    <cfRule type="expression" dxfId="1650" priority="1904">
      <formula>Q12=""</formula>
    </cfRule>
  </conditionalFormatting>
  <conditionalFormatting sqref="R11">
    <cfRule type="cellIs" dxfId="1649" priority="1889" operator="greaterThanOrEqual">
      <formula>6</formula>
    </cfRule>
    <cfRule type="cellIs" dxfId="1648" priority="1890" operator="between">
      <formula>0.1</formula>
      <formula>5.9</formula>
    </cfRule>
    <cfRule type="expression" dxfId="1647" priority="1892">
      <formula>R12=""</formula>
    </cfRule>
  </conditionalFormatting>
  <conditionalFormatting sqref="S11:U11">
    <cfRule type="cellIs" dxfId="1646" priority="1877" operator="greaterThanOrEqual">
      <formula>6</formula>
    </cfRule>
    <cfRule type="cellIs" dxfId="1645" priority="1878" operator="between">
      <formula>0.1</formula>
      <formula>5.9</formula>
    </cfRule>
    <cfRule type="expression" dxfId="1644" priority="1880">
      <formula>S12=""</formula>
    </cfRule>
  </conditionalFormatting>
  <conditionalFormatting sqref="Q13">
    <cfRule type="cellIs" dxfId="1643" priority="1865" operator="greaterThanOrEqual">
      <formula>6</formula>
    </cfRule>
    <cfRule type="cellIs" dxfId="1642" priority="1866" operator="between">
      <formula>0.1</formula>
      <formula>5.9</formula>
    </cfRule>
    <cfRule type="expression" dxfId="1641" priority="1868">
      <formula>Q14=""</formula>
    </cfRule>
  </conditionalFormatting>
  <conditionalFormatting sqref="R13">
    <cfRule type="cellIs" dxfId="1640" priority="1853" operator="greaterThanOrEqual">
      <formula>6</formula>
    </cfRule>
    <cfRule type="cellIs" dxfId="1639" priority="1854" operator="between">
      <formula>0.1</formula>
      <formula>5.9</formula>
    </cfRule>
    <cfRule type="expression" dxfId="1638" priority="1856">
      <formula>R14=""</formula>
    </cfRule>
  </conditionalFormatting>
  <conditionalFormatting sqref="S13:U13">
    <cfRule type="cellIs" dxfId="1637" priority="1841" operator="greaterThanOrEqual">
      <formula>6</formula>
    </cfRule>
    <cfRule type="cellIs" dxfId="1636" priority="1842" operator="between">
      <formula>0.1</formula>
      <formula>5.9</formula>
    </cfRule>
    <cfRule type="expression" dxfId="1635" priority="1844">
      <formula>S14=""</formula>
    </cfRule>
  </conditionalFormatting>
  <conditionalFormatting sqref="X5">
    <cfRule type="cellIs" dxfId="1634" priority="1829" operator="greaterThanOrEqual">
      <formula>6</formula>
    </cfRule>
    <cfRule type="cellIs" dxfId="1633" priority="1830" operator="between">
      <formula>0.1</formula>
      <formula>5.9</formula>
    </cfRule>
    <cfRule type="expression" dxfId="1632" priority="1832">
      <formula>X6=""</formula>
    </cfRule>
  </conditionalFormatting>
  <conditionalFormatting sqref="Y5">
    <cfRule type="cellIs" dxfId="1631" priority="1817" operator="greaterThanOrEqual">
      <formula>6</formula>
    </cfRule>
    <cfRule type="cellIs" dxfId="1630" priority="1818" operator="between">
      <formula>0.1</formula>
      <formula>5.9</formula>
    </cfRule>
    <cfRule type="expression" dxfId="1629" priority="1820">
      <formula>Y6=""</formula>
    </cfRule>
  </conditionalFormatting>
  <conditionalFormatting sqref="Z5:AB5">
    <cfRule type="cellIs" dxfId="1628" priority="1805" operator="greaterThanOrEqual">
      <formula>6</formula>
    </cfRule>
    <cfRule type="cellIs" dxfId="1627" priority="1806" operator="between">
      <formula>0.1</formula>
      <formula>5.9</formula>
    </cfRule>
    <cfRule type="expression" dxfId="1626" priority="1808">
      <formula>Z6=""</formula>
    </cfRule>
  </conditionalFormatting>
  <conditionalFormatting sqref="X7">
    <cfRule type="cellIs" dxfId="1625" priority="1793" operator="greaterThanOrEqual">
      <formula>6</formula>
    </cfRule>
    <cfRule type="cellIs" dxfId="1624" priority="1794" operator="between">
      <formula>0.1</formula>
      <formula>5.9</formula>
    </cfRule>
    <cfRule type="expression" dxfId="1623" priority="1796">
      <formula>X8=""</formula>
    </cfRule>
  </conditionalFormatting>
  <conditionalFormatting sqref="Y7">
    <cfRule type="cellIs" dxfId="1622" priority="1781" operator="greaterThanOrEqual">
      <formula>6</formula>
    </cfRule>
    <cfRule type="cellIs" dxfId="1621" priority="1782" operator="between">
      <formula>0.1</formula>
      <formula>5.9</formula>
    </cfRule>
    <cfRule type="expression" dxfId="1620" priority="1784">
      <formula>Y8=""</formula>
    </cfRule>
  </conditionalFormatting>
  <conditionalFormatting sqref="Z7:AB7">
    <cfRule type="cellIs" dxfId="1619" priority="1769" operator="greaterThanOrEqual">
      <formula>6</formula>
    </cfRule>
    <cfRule type="cellIs" dxfId="1618" priority="1770" operator="between">
      <formula>0.1</formula>
      <formula>5.9</formula>
    </cfRule>
    <cfRule type="expression" dxfId="1617" priority="1772">
      <formula>Z8=""</formula>
    </cfRule>
  </conditionalFormatting>
  <conditionalFormatting sqref="X9">
    <cfRule type="cellIs" dxfId="1616" priority="1757" operator="greaterThanOrEqual">
      <formula>6</formula>
    </cfRule>
    <cfRule type="cellIs" dxfId="1615" priority="1758" operator="between">
      <formula>0.1</formula>
      <formula>5.9</formula>
    </cfRule>
    <cfRule type="expression" dxfId="1614" priority="1760">
      <formula>X10=""</formula>
    </cfRule>
  </conditionalFormatting>
  <conditionalFormatting sqref="Y9">
    <cfRule type="cellIs" dxfId="1613" priority="1745" operator="greaterThanOrEqual">
      <formula>6</formula>
    </cfRule>
    <cfRule type="cellIs" dxfId="1612" priority="1746" operator="between">
      <formula>0.1</formula>
      <formula>5.9</formula>
    </cfRule>
    <cfRule type="expression" dxfId="1611" priority="1748">
      <formula>Y10=""</formula>
    </cfRule>
  </conditionalFormatting>
  <conditionalFormatting sqref="Z9:AB9">
    <cfRule type="cellIs" dxfId="1610" priority="1733" operator="greaterThanOrEqual">
      <formula>6</formula>
    </cfRule>
    <cfRule type="cellIs" dxfId="1609" priority="1734" operator="between">
      <formula>0.1</formula>
      <formula>5.9</formula>
    </cfRule>
    <cfRule type="expression" dxfId="1608" priority="1736">
      <formula>Z10=""</formula>
    </cfRule>
  </conditionalFormatting>
  <conditionalFormatting sqref="X11">
    <cfRule type="cellIs" dxfId="1607" priority="1721" operator="greaterThanOrEqual">
      <formula>6</formula>
    </cfRule>
    <cfRule type="cellIs" dxfId="1606" priority="1722" operator="between">
      <formula>0.1</formula>
      <formula>5.9</formula>
    </cfRule>
    <cfRule type="expression" dxfId="1605" priority="1724">
      <formula>X12=""</formula>
    </cfRule>
  </conditionalFormatting>
  <conditionalFormatting sqref="Y11">
    <cfRule type="cellIs" dxfId="1604" priority="1709" operator="greaterThanOrEqual">
      <formula>6</formula>
    </cfRule>
    <cfRule type="cellIs" dxfId="1603" priority="1710" operator="between">
      <formula>0.1</formula>
      <formula>5.9</formula>
    </cfRule>
    <cfRule type="expression" dxfId="1602" priority="1712">
      <formula>Y12=""</formula>
    </cfRule>
  </conditionalFormatting>
  <conditionalFormatting sqref="Z11:AB11">
    <cfRule type="cellIs" dxfId="1601" priority="1697" operator="greaterThanOrEqual">
      <formula>6</formula>
    </cfRule>
    <cfRule type="cellIs" dxfId="1600" priority="1698" operator="between">
      <formula>0.1</formula>
      <formula>5.9</formula>
    </cfRule>
    <cfRule type="expression" dxfId="1599" priority="1700">
      <formula>Z12=""</formula>
    </cfRule>
  </conditionalFormatting>
  <conditionalFormatting sqref="X13">
    <cfRule type="cellIs" dxfId="1598" priority="1685" operator="greaterThanOrEqual">
      <formula>6</formula>
    </cfRule>
    <cfRule type="cellIs" dxfId="1597" priority="1686" operator="between">
      <formula>0.1</formula>
      <formula>5.9</formula>
    </cfRule>
    <cfRule type="expression" dxfId="1596" priority="1688">
      <formula>X14=""</formula>
    </cfRule>
  </conditionalFormatting>
  <conditionalFormatting sqref="Y13">
    <cfRule type="cellIs" dxfId="1595" priority="1673" operator="greaterThanOrEqual">
      <formula>6</formula>
    </cfRule>
    <cfRule type="cellIs" dxfId="1594" priority="1674" operator="between">
      <formula>0.1</formula>
      <formula>5.9</formula>
    </cfRule>
    <cfRule type="expression" dxfId="1593" priority="1676">
      <formula>Y14=""</formula>
    </cfRule>
  </conditionalFormatting>
  <conditionalFormatting sqref="Z13:AB13">
    <cfRule type="cellIs" dxfId="1592" priority="1661" operator="greaterThanOrEqual">
      <formula>6</formula>
    </cfRule>
    <cfRule type="cellIs" dxfId="1591" priority="1662" operator="between">
      <formula>0.1</formula>
      <formula>5.9</formula>
    </cfRule>
    <cfRule type="expression" dxfId="1590" priority="1664">
      <formula>Z14=""</formula>
    </cfRule>
  </conditionalFormatting>
  <conditionalFormatting sqref="C16">
    <cfRule type="cellIs" dxfId="1589" priority="1649" operator="greaterThanOrEqual">
      <formula>6</formula>
    </cfRule>
    <cfRule type="cellIs" dxfId="1588" priority="1650" operator="between">
      <formula>0.1</formula>
      <formula>5.9</formula>
    </cfRule>
    <cfRule type="expression" dxfId="1587" priority="1652">
      <formula>C17=""</formula>
    </cfRule>
  </conditionalFormatting>
  <conditionalFormatting sqref="D16">
    <cfRule type="cellIs" dxfId="1586" priority="1637" operator="greaterThanOrEqual">
      <formula>6</formula>
    </cfRule>
    <cfRule type="cellIs" dxfId="1585" priority="1638" operator="between">
      <formula>0.1</formula>
      <formula>5.9</formula>
    </cfRule>
    <cfRule type="expression" dxfId="1584" priority="1640">
      <formula>D17=""</formula>
    </cfRule>
  </conditionalFormatting>
  <conditionalFormatting sqref="E16:G16">
    <cfRule type="cellIs" dxfId="1583" priority="1625" operator="greaterThanOrEqual">
      <formula>6</formula>
    </cfRule>
    <cfRule type="cellIs" dxfId="1582" priority="1626" operator="between">
      <formula>0.1</formula>
      <formula>5.9</formula>
    </cfRule>
    <cfRule type="expression" dxfId="1581" priority="1628">
      <formula>E17=""</formula>
    </cfRule>
  </conditionalFormatting>
  <conditionalFormatting sqref="C18">
    <cfRule type="cellIs" dxfId="1580" priority="1613" operator="greaterThanOrEqual">
      <formula>6</formula>
    </cfRule>
    <cfRule type="cellIs" dxfId="1579" priority="1614" operator="between">
      <formula>0.1</formula>
      <formula>5.9</formula>
    </cfRule>
    <cfRule type="expression" dxfId="1578" priority="1616">
      <formula>C19=""</formula>
    </cfRule>
  </conditionalFormatting>
  <conditionalFormatting sqref="D18">
    <cfRule type="cellIs" dxfId="1577" priority="1601" operator="greaterThanOrEqual">
      <formula>6</formula>
    </cfRule>
    <cfRule type="cellIs" dxfId="1576" priority="1602" operator="between">
      <formula>0.1</formula>
      <formula>5.9</formula>
    </cfRule>
    <cfRule type="expression" dxfId="1575" priority="1604">
      <formula>D19=""</formula>
    </cfRule>
  </conditionalFormatting>
  <conditionalFormatting sqref="E18:G18">
    <cfRule type="cellIs" dxfId="1574" priority="1589" operator="greaterThanOrEqual">
      <formula>6</formula>
    </cfRule>
    <cfRule type="cellIs" dxfId="1573" priority="1590" operator="between">
      <formula>0.1</formula>
      <formula>5.9</formula>
    </cfRule>
    <cfRule type="expression" dxfId="1572" priority="1592">
      <formula>E19=""</formula>
    </cfRule>
  </conditionalFormatting>
  <conditionalFormatting sqref="C20">
    <cfRule type="cellIs" dxfId="1571" priority="1577" operator="greaterThanOrEqual">
      <formula>6</formula>
    </cfRule>
    <cfRule type="cellIs" dxfId="1570" priority="1578" operator="between">
      <formula>0.1</formula>
      <formula>5.9</formula>
    </cfRule>
    <cfRule type="expression" dxfId="1569" priority="1580">
      <formula>C21=""</formula>
    </cfRule>
  </conditionalFormatting>
  <conditionalFormatting sqref="D20">
    <cfRule type="cellIs" dxfId="1568" priority="1565" operator="greaterThanOrEqual">
      <formula>6</formula>
    </cfRule>
    <cfRule type="cellIs" dxfId="1567" priority="1566" operator="between">
      <formula>0.1</formula>
      <formula>5.9</formula>
    </cfRule>
    <cfRule type="expression" dxfId="1566" priority="1568">
      <formula>D21=""</formula>
    </cfRule>
  </conditionalFormatting>
  <conditionalFormatting sqref="E20:G20">
    <cfRule type="cellIs" dxfId="1565" priority="1553" operator="greaterThanOrEqual">
      <formula>6</formula>
    </cfRule>
    <cfRule type="cellIs" dxfId="1564" priority="1554" operator="between">
      <formula>0.1</formula>
      <formula>5.9</formula>
    </cfRule>
    <cfRule type="expression" dxfId="1563" priority="1556">
      <formula>E21=""</formula>
    </cfRule>
  </conditionalFormatting>
  <conditionalFormatting sqref="C22">
    <cfRule type="cellIs" dxfId="1562" priority="1541" operator="greaterThanOrEqual">
      <formula>6</formula>
    </cfRule>
    <cfRule type="cellIs" dxfId="1561" priority="1542" operator="between">
      <formula>0.1</formula>
      <formula>5.9</formula>
    </cfRule>
    <cfRule type="expression" dxfId="1560" priority="1544">
      <formula>C23=""</formula>
    </cfRule>
  </conditionalFormatting>
  <conditionalFormatting sqref="D22">
    <cfRule type="cellIs" dxfId="1559" priority="1529" operator="greaterThanOrEqual">
      <formula>6</formula>
    </cfRule>
    <cfRule type="cellIs" dxfId="1558" priority="1530" operator="between">
      <formula>0.1</formula>
      <formula>5.9</formula>
    </cfRule>
    <cfRule type="expression" dxfId="1557" priority="1532">
      <formula>D23=""</formula>
    </cfRule>
  </conditionalFormatting>
  <conditionalFormatting sqref="E22:G22">
    <cfRule type="cellIs" dxfId="1556" priority="1517" operator="greaterThanOrEqual">
      <formula>6</formula>
    </cfRule>
    <cfRule type="cellIs" dxfId="1555" priority="1518" operator="between">
      <formula>0.1</formula>
      <formula>5.9</formula>
    </cfRule>
    <cfRule type="expression" dxfId="1554" priority="1520">
      <formula>E23=""</formula>
    </cfRule>
  </conditionalFormatting>
  <conditionalFormatting sqref="C24">
    <cfRule type="cellIs" dxfId="1553" priority="1505" operator="greaterThanOrEqual">
      <formula>6</formula>
    </cfRule>
    <cfRule type="cellIs" dxfId="1552" priority="1506" operator="between">
      <formula>0.1</formula>
      <formula>5.9</formula>
    </cfRule>
    <cfRule type="expression" dxfId="1551" priority="1508">
      <formula>C25=""</formula>
    </cfRule>
  </conditionalFormatting>
  <conditionalFormatting sqref="D24">
    <cfRule type="cellIs" dxfId="1550" priority="1493" operator="greaterThanOrEqual">
      <formula>6</formula>
    </cfRule>
    <cfRule type="cellIs" dxfId="1549" priority="1494" operator="between">
      <formula>0.1</formula>
      <formula>5.9</formula>
    </cfRule>
    <cfRule type="expression" dxfId="1548" priority="1496">
      <formula>D25=""</formula>
    </cfRule>
  </conditionalFormatting>
  <conditionalFormatting sqref="E24:G24">
    <cfRule type="cellIs" dxfId="1547" priority="1481" operator="greaterThanOrEqual">
      <formula>6</formula>
    </cfRule>
    <cfRule type="cellIs" dxfId="1546" priority="1482" operator="between">
      <formula>0.1</formula>
      <formula>5.9</formula>
    </cfRule>
    <cfRule type="expression" dxfId="1545" priority="1484">
      <formula>E25=""</formula>
    </cfRule>
  </conditionalFormatting>
  <conditionalFormatting sqref="J16">
    <cfRule type="cellIs" dxfId="1544" priority="1469" operator="greaterThanOrEqual">
      <formula>6</formula>
    </cfRule>
    <cfRule type="cellIs" dxfId="1543" priority="1470" operator="between">
      <formula>0.1</formula>
      <formula>5.9</formula>
    </cfRule>
    <cfRule type="expression" dxfId="1542" priority="1472">
      <formula>J17=""</formula>
    </cfRule>
  </conditionalFormatting>
  <conditionalFormatting sqref="K16">
    <cfRule type="cellIs" dxfId="1541" priority="1457" operator="greaterThanOrEqual">
      <formula>6</formula>
    </cfRule>
    <cfRule type="cellIs" dxfId="1540" priority="1458" operator="between">
      <formula>0.1</formula>
      <formula>5.9</formula>
    </cfRule>
    <cfRule type="expression" dxfId="1539" priority="1460">
      <formula>K17=""</formula>
    </cfRule>
  </conditionalFormatting>
  <conditionalFormatting sqref="L16:N16">
    <cfRule type="cellIs" dxfId="1538" priority="1445" operator="greaterThanOrEqual">
      <formula>6</formula>
    </cfRule>
    <cfRule type="cellIs" dxfId="1537" priority="1446" operator="between">
      <formula>0.1</formula>
      <formula>5.9</formula>
    </cfRule>
    <cfRule type="expression" dxfId="1536" priority="1448">
      <formula>L17=""</formula>
    </cfRule>
  </conditionalFormatting>
  <conditionalFormatting sqref="J18">
    <cfRule type="cellIs" dxfId="1535" priority="1433" operator="greaterThanOrEqual">
      <formula>6</formula>
    </cfRule>
    <cfRule type="cellIs" dxfId="1534" priority="1434" operator="between">
      <formula>0.1</formula>
      <formula>5.9</formula>
    </cfRule>
    <cfRule type="expression" dxfId="1533" priority="1436">
      <formula>J19=""</formula>
    </cfRule>
  </conditionalFormatting>
  <conditionalFormatting sqref="K18">
    <cfRule type="cellIs" dxfId="1532" priority="1421" operator="greaterThanOrEqual">
      <formula>6</formula>
    </cfRule>
    <cfRule type="cellIs" dxfId="1531" priority="1422" operator="between">
      <formula>0.1</formula>
      <formula>5.9</formula>
    </cfRule>
    <cfRule type="expression" dxfId="1530" priority="1424">
      <formula>K19=""</formula>
    </cfRule>
  </conditionalFormatting>
  <conditionalFormatting sqref="L18:N18">
    <cfRule type="cellIs" dxfId="1529" priority="1409" operator="greaterThanOrEqual">
      <formula>6</formula>
    </cfRule>
    <cfRule type="cellIs" dxfId="1528" priority="1410" operator="between">
      <formula>0.1</formula>
      <formula>5.9</formula>
    </cfRule>
    <cfRule type="expression" dxfId="1527" priority="1412">
      <formula>L19=""</formula>
    </cfRule>
  </conditionalFormatting>
  <conditionalFormatting sqref="J20">
    <cfRule type="cellIs" dxfId="1526" priority="1397" operator="greaterThanOrEqual">
      <formula>6</formula>
    </cfRule>
    <cfRule type="cellIs" dxfId="1525" priority="1398" operator="between">
      <formula>0.1</formula>
      <formula>5.9</formula>
    </cfRule>
    <cfRule type="expression" dxfId="1524" priority="1400">
      <formula>J21=""</formula>
    </cfRule>
  </conditionalFormatting>
  <conditionalFormatting sqref="K20">
    <cfRule type="cellIs" dxfId="1523" priority="1385" operator="greaterThanOrEqual">
      <formula>6</formula>
    </cfRule>
    <cfRule type="cellIs" dxfId="1522" priority="1386" operator="between">
      <formula>0.1</formula>
      <formula>5.9</formula>
    </cfRule>
    <cfRule type="expression" dxfId="1521" priority="1388">
      <formula>K21=""</formula>
    </cfRule>
  </conditionalFormatting>
  <conditionalFormatting sqref="L20:N20">
    <cfRule type="cellIs" dxfId="1520" priority="1373" operator="greaterThanOrEqual">
      <formula>6</formula>
    </cfRule>
    <cfRule type="cellIs" dxfId="1519" priority="1374" operator="between">
      <formula>0.1</formula>
      <formula>5.9</formula>
    </cfRule>
    <cfRule type="expression" dxfId="1518" priority="1376">
      <formula>L21=""</formula>
    </cfRule>
  </conditionalFormatting>
  <conditionalFormatting sqref="J22">
    <cfRule type="cellIs" dxfId="1517" priority="1361" operator="greaterThanOrEqual">
      <formula>6</formula>
    </cfRule>
    <cfRule type="cellIs" dxfId="1516" priority="1362" operator="between">
      <formula>0.1</formula>
      <formula>5.9</formula>
    </cfRule>
    <cfRule type="expression" dxfId="1515" priority="1364">
      <formula>J23=""</formula>
    </cfRule>
  </conditionalFormatting>
  <conditionalFormatting sqref="K22">
    <cfRule type="cellIs" dxfId="1514" priority="1349" operator="greaterThanOrEqual">
      <formula>6</formula>
    </cfRule>
    <cfRule type="cellIs" dxfId="1513" priority="1350" operator="between">
      <formula>0.1</formula>
      <formula>5.9</formula>
    </cfRule>
    <cfRule type="expression" dxfId="1512" priority="1352">
      <formula>K23=""</formula>
    </cfRule>
  </conditionalFormatting>
  <conditionalFormatting sqref="L22:N22">
    <cfRule type="cellIs" dxfId="1511" priority="1337" operator="greaterThanOrEqual">
      <formula>6</formula>
    </cfRule>
    <cfRule type="cellIs" dxfId="1510" priority="1338" operator="between">
      <formula>0.1</formula>
      <formula>5.9</formula>
    </cfRule>
    <cfRule type="expression" dxfId="1509" priority="1340">
      <formula>L23=""</formula>
    </cfRule>
  </conditionalFormatting>
  <conditionalFormatting sqref="J24">
    <cfRule type="cellIs" dxfId="1508" priority="1325" operator="greaterThanOrEqual">
      <formula>6</formula>
    </cfRule>
    <cfRule type="cellIs" dxfId="1507" priority="1326" operator="between">
      <formula>0.1</formula>
      <formula>5.9</formula>
    </cfRule>
    <cfRule type="expression" dxfId="1506" priority="1328">
      <formula>J25=""</formula>
    </cfRule>
  </conditionalFormatting>
  <conditionalFormatting sqref="K24">
    <cfRule type="cellIs" dxfId="1505" priority="1313" operator="greaterThanOrEqual">
      <formula>6</formula>
    </cfRule>
    <cfRule type="cellIs" dxfId="1504" priority="1314" operator="between">
      <formula>0.1</formula>
      <formula>5.9</formula>
    </cfRule>
    <cfRule type="expression" dxfId="1503" priority="1316">
      <formula>K25=""</formula>
    </cfRule>
  </conditionalFormatting>
  <conditionalFormatting sqref="L24:N24">
    <cfRule type="cellIs" dxfId="1502" priority="1301" operator="greaterThanOrEqual">
      <formula>6</formula>
    </cfRule>
    <cfRule type="cellIs" dxfId="1501" priority="1302" operator="between">
      <formula>0.1</formula>
      <formula>5.9</formula>
    </cfRule>
    <cfRule type="expression" dxfId="1500" priority="1304">
      <formula>L25=""</formula>
    </cfRule>
  </conditionalFormatting>
  <conditionalFormatting sqref="Q16">
    <cfRule type="cellIs" dxfId="1499" priority="1289" operator="greaterThanOrEqual">
      <formula>6</formula>
    </cfRule>
    <cfRule type="cellIs" dxfId="1498" priority="1290" operator="between">
      <formula>0.1</formula>
      <formula>5.9</formula>
    </cfRule>
    <cfRule type="expression" dxfId="1497" priority="1292">
      <formula>Q17=""</formula>
    </cfRule>
  </conditionalFormatting>
  <conditionalFormatting sqref="R16">
    <cfRule type="cellIs" dxfId="1496" priority="1277" operator="greaterThanOrEqual">
      <formula>6</formula>
    </cfRule>
    <cfRule type="cellIs" dxfId="1495" priority="1278" operator="between">
      <formula>0.1</formula>
      <formula>5.9</formula>
    </cfRule>
    <cfRule type="expression" dxfId="1494" priority="1280">
      <formula>R17=""</formula>
    </cfRule>
  </conditionalFormatting>
  <conditionalFormatting sqref="S16:U16">
    <cfRule type="cellIs" dxfId="1493" priority="1265" operator="greaterThanOrEqual">
      <formula>6</formula>
    </cfRule>
    <cfRule type="cellIs" dxfId="1492" priority="1266" operator="between">
      <formula>0.1</formula>
      <formula>5.9</formula>
    </cfRule>
    <cfRule type="expression" dxfId="1491" priority="1268">
      <formula>S17=""</formula>
    </cfRule>
  </conditionalFormatting>
  <conditionalFormatting sqref="Q18">
    <cfRule type="cellIs" dxfId="1490" priority="1253" operator="greaterThanOrEqual">
      <formula>6</formula>
    </cfRule>
    <cfRule type="cellIs" dxfId="1489" priority="1254" operator="between">
      <formula>0.1</formula>
      <formula>5.9</formula>
    </cfRule>
    <cfRule type="expression" dxfId="1488" priority="1256">
      <formula>Q19=""</formula>
    </cfRule>
  </conditionalFormatting>
  <conditionalFormatting sqref="R18">
    <cfRule type="cellIs" dxfId="1487" priority="1241" operator="greaterThanOrEqual">
      <formula>6</formula>
    </cfRule>
    <cfRule type="cellIs" dxfId="1486" priority="1242" operator="between">
      <formula>0.1</formula>
      <formula>5.9</formula>
    </cfRule>
    <cfRule type="expression" dxfId="1485" priority="1244">
      <formula>R19=""</formula>
    </cfRule>
  </conditionalFormatting>
  <conditionalFormatting sqref="S18:U18">
    <cfRule type="cellIs" dxfId="1484" priority="1229" operator="greaterThanOrEqual">
      <formula>6</formula>
    </cfRule>
    <cfRule type="cellIs" dxfId="1483" priority="1230" operator="between">
      <formula>0.1</formula>
      <formula>5.9</formula>
    </cfRule>
    <cfRule type="expression" dxfId="1482" priority="1232">
      <formula>S19=""</formula>
    </cfRule>
  </conditionalFormatting>
  <conditionalFormatting sqref="Q20">
    <cfRule type="cellIs" dxfId="1481" priority="1217" operator="greaterThanOrEqual">
      <formula>6</formula>
    </cfRule>
    <cfRule type="cellIs" dxfId="1480" priority="1218" operator="between">
      <formula>0.1</formula>
      <formula>5.9</formula>
    </cfRule>
    <cfRule type="expression" dxfId="1479" priority="1220">
      <formula>Q21=""</formula>
    </cfRule>
  </conditionalFormatting>
  <conditionalFormatting sqref="R20">
    <cfRule type="cellIs" dxfId="1478" priority="1205" operator="greaterThanOrEqual">
      <formula>6</formula>
    </cfRule>
    <cfRule type="cellIs" dxfId="1477" priority="1206" operator="between">
      <formula>0.1</formula>
      <formula>5.9</formula>
    </cfRule>
    <cfRule type="expression" dxfId="1476" priority="1208">
      <formula>R21=""</formula>
    </cfRule>
  </conditionalFormatting>
  <conditionalFormatting sqref="S20:U20">
    <cfRule type="cellIs" dxfId="1475" priority="1193" operator="greaterThanOrEqual">
      <formula>6</formula>
    </cfRule>
    <cfRule type="cellIs" dxfId="1474" priority="1194" operator="between">
      <formula>0.1</formula>
      <formula>5.9</formula>
    </cfRule>
    <cfRule type="expression" dxfId="1473" priority="1196">
      <formula>S21=""</formula>
    </cfRule>
  </conditionalFormatting>
  <conditionalFormatting sqref="Q22">
    <cfRule type="cellIs" dxfId="1472" priority="1181" operator="greaterThanOrEqual">
      <formula>6</formula>
    </cfRule>
    <cfRule type="cellIs" dxfId="1471" priority="1182" operator="between">
      <formula>0.1</formula>
      <formula>5.9</formula>
    </cfRule>
    <cfRule type="expression" dxfId="1470" priority="1184">
      <formula>Q23=""</formula>
    </cfRule>
  </conditionalFormatting>
  <conditionalFormatting sqref="R22">
    <cfRule type="cellIs" dxfId="1469" priority="1169" operator="greaterThanOrEqual">
      <formula>6</formula>
    </cfRule>
    <cfRule type="cellIs" dxfId="1468" priority="1170" operator="between">
      <formula>0.1</formula>
      <formula>5.9</formula>
    </cfRule>
    <cfRule type="expression" dxfId="1467" priority="1172">
      <formula>R23=""</formula>
    </cfRule>
  </conditionalFormatting>
  <conditionalFormatting sqref="S22:U22">
    <cfRule type="cellIs" dxfId="1466" priority="1157" operator="greaterThanOrEqual">
      <formula>6</formula>
    </cfRule>
    <cfRule type="cellIs" dxfId="1465" priority="1158" operator="between">
      <formula>0.1</formula>
      <formula>5.9</formula>
    </cfRule>
    <cfRule type="expression" dxfId="1464" priority="1160">
      <formula>S23=""</formula>
    </cfRule>
  </conditionalFormatting>
  <conditionalFormatting sqref="Q24">
    <cfRule type="cellIs" dxfId="1463" priority="1145" operator="greaterThanOrEqual">
      <formula>6</formula>
    </cfRule>
    <cfRule type="cellIs" dxfId="1462" priority="1146" operator="between">
      <formula>0.1</formula>
      <formula>5.9</formula>
    </cfRule>
    <cfRule type="expression" dxfId="1461" priority="1148">
      <formula>Q25=""</formula>
    </cfRule>
  </conditionalFormatting>
  <conditionalFormatting sqref="R24">
    <cfRule type="cellIs" dxfId="1460" priority="1133" operator="greaterThanOrEqual">
      <formula>6</formula>
    </cfRule>
    <cfRule type="cellIs" dxfId="1459" priority="1134" operator="between">
      <formula>0.1</formula>
      <formula>5.9</formula>
    </cfRule>
    <cfRule type="expression" dxfId="1458" priority="1136">
      <formula>R25=""</formula>
    </cfRule>
  </conditionalFormatting>
  <conditionalFormatting sqref="S24:U24">
    <cfRule type="cellIs" dxfId="1457" priority="1121" operator="greaterThanOrEqual">
      <formula>6</formula>
    </cfRule>
    <cfRule type="cellIs" dxfId="1456" priority="1122" operator="between">
      <formula>0.1</formula>
      <formula>5.9</formula>
    </cfRule>
    <cfRule type="expression" dxfId="1455" priority="1124">
      <formula>S25=""</formula>
    </cfRule>
  </conditionalFormatting>
  <conditionalFormatting sqref="X16">
    <cfRule type="cellIs" dxfId="1454" priority="1109" operator="greaterThanOrEqual">
      <formula>6</formula>
    </cfRule>
    <cfRule type="cellIs" dxfId="1453" priority="1110" operator="between">
      <formula>0.1</formula>
      <formula>5.9</formula>
    </cfRule>
    <cfRule type="expression" dxfId="1452" priority="1112">
      <formula>X17=""</formula>
    </cfRule>
  </conditionalFormatting>
  <conditionalFormatting sqref="Y16">
    <cfRule type="cellIs" dxfId="1451" priority="1097" operator="greaterThanOrEqual">
      <formula>6</formula>
    </cfRule>
    <cfRule type="cellIs" dxfId="1450" priority="1098" operator="between">
      <formula>0.1</formula>
      <formula>5.9</formula>
    </cfRule>
    <cfRule type="expression" dxfId="1449" priority="1100">
      <formula>Y17=""</formula>
    </cfRule>
  </conditionalFormatting>
  <conditionalFormatting sqref="Z16:AB16">
    <cfRule type="cellIs" dxfId="1448" priority="1085" operator="greaterThanOrEqual">
      <formula>6</formula>
    </cfRule>
    <cfRule type="cellIs" dxfId="1447" priority="1086" operator="between">
      <formula>0.1</formula>
      <formula>5.9</formula>
    </cfRule>
    <cfRule type="expression" dxfId="1446" priority="1088">
      <formula>Z17=""</formula>
    </cfRule>
  </conditionalFormatting>
  <conditionalFormatting sqref="X18">
    <cfRule type="cellIs" dxfId="1445" priority="1073" operator="greaterThanOrEqual">
      <formula>6</formula>
    </cfRule>
    <cfRule type="cellIs" dxfId="1444" priority="1074" operator="between">
      <formula>0.1</formula>
      <formula>5.9</formula>
    </cfRule>
    <cfRule type="expression" dxfId="1443" priority="1076">
      <formula>X19=""</formula>
    </cfRule>
  </conditionalFormatting>
  <conditionalFormatting sqref="Y18">
    <cfRule type="cellIs" dxfId="1442" priority="1061" operator="greaterThanOrEqual">
      <formula>6</formula>
    </cfRule>
    <cfRule type="cellIs" dxfId="1441" priority="1062" operator="between">
      <formula>0.1</formula>
      <formula>5.9</formula>
    </cfRule>
    <cfRule type="expression" dxfId="1440" priority="1064">
      <formula>Y19=""</formula>
    </cfRule>
  </conditionalFormatting>
  <conditionalFormatting sqref="Z18:AB18">
    <cfRule type="cellIs" dxfId="1439" priority="1049" operator="greaterThanOrEqual">
      <formula>6</formula>
    </cfRule>
    <cfRule type="cellIs" dxfId="1438" priority="1050" operator="between">
      <formula>0.1</formula>
      <formula>5.9</formula>
    </cfRule>
    <cfRule type="expression" dxfId="1437" priority="1052">
      <formula>Z19=""</formula>
    </cfRule>
  </conditionalFormatting>
  <conditionalFormatting sqref="X20">
    <cfRule type="cellIs" dxfId="1436" priority="1037" operator="greaterThanOrEqual">
      <formula>6</formula>
    </cfRule>
    <cfRule type="cellIs" dxfId="1435" priority="1038" operator="between">
      <formula>0.1</formula>
      <formula>5.9</formula>
    </cfRule>
    <cfRule type="expression" dxfId="1434" priority="1040">
      <formula>X21=""</formula>
    </cfRule>
  </conditionalFormatting>
  <conditionalFormatting sqref="Y20">
    <cfRule type="cellIs" dxfId="1433" priority="1025" operator="greaterThanOrEqual">
      <formula>6</formula>
    </cfRule>
    <cfRule type="cellIs" dxfId="1432" priority="1026" operator="between">
      <formula>0.1</formula>
      <formula>5.9</formula>
    </cfRule>
    <cfRule type="expression" dxfId="1431" priority="1028">
      <formula>Y21=""</formula>
    </cfRule>
  </conditionalFormatting>
  <conditionalFormatting sqref="Z20:AB20">
    <cfRule type="cellIs" dxfId="1430" priority="1013" operator="greaterThanOrEqual">
      <formula>6</formula>
    </cfRule>
    <cfRule type="cellIs" dxfId="1429" priority="1014" operator="between">
      <formula>0.1</formula>
      <formula>5.9</formula>
    </cfRule>
    <cfRule type="expression" dxfId="1428" priority="1016">
      <formula>Z21=""</formula>
    </cfRule>
  </conditionalFormatting>
  <conditionalFormatting sqref="X22">
    <cfRule type="cellIs" dxfId="1427" priority="1001" operator="greaterThanOrEqual">
      <formula>6</formula>
    </cfRule>
    <cfRule type="cellIs" dxfId="1426" priority="1002" operator="between">
      <formula>0.1</formula>
      <formula>5.9</formula>
    </cfRule>
    <cfRule type="expression" dxfId="1425" priority="1004">
      <formula>X23=""</formula>
    </cfRule>
  </conditionalFormatting>
  <conditionalFormatting sqref="Y22">
    <cfRule type="cellIs" dxfId="1424" priority="989" operator="greaterThanOrEqual">
      <formula>6</formula>
    </cfRule>
    <cfRule type="cellIs" dxfId="1423" priority="990" operator="between">
      <formula>0.1</formula>
      <formula>5.9</formula>
    </cfRule>
    <cfRule type="expression" dxfId="1422" priority="992">
      <formula>Y23=""</formula>
    </cfRule>
  </conditionalFormatting>
  <conditionalFormatting sqref="Z22:AB22">
    <cfRule type="cellIs" dxfId="1421" priority="977" operator="greaterThanOrEqual">
      <formula>6</formula>
    </cfRule>
    <cfRule type="cellIs" dxfId="1420" priority="978" operator="between">
      <formula>0.1</formula>
      <formula>5.9</formula>
    </cfRule>
    <cfRule type="expression" dxfId="1419" priority="980">
      <formula>Z23=""</formula>
    </cfRule>
  </conditionalFormatting>
  <conditionalFormatting sqref="X24">
    <cfRule type="cellIs" dxfId="1418" priority="965" operator="greaterThanOrEqual">
      <formula>6</formula>
    </cfRule>
    <cfRule type="cellIs" dxfId="1417" priority="966" operator="between">
      <formula>0.1</formula>
      <formula>5.9</formula>
    </cfRule>
    <cfRule type="expression" dxfId="1416" priority="968">
      <formula>X25=""</formula>
    </cfRule>
  </conditionalFormatting>
  <conditionalFormatting sqref="Y24">
    <cfRule type="cellIs" dxfId="1415" priority="953" operator="greaterThanOrEqual">
      <formula>6</formula>
    </cfRule>
    <cfRule type="cellIs" dxfId="1414" priority="954" operator="between">
      <formula>0.1</formula>
      <formula>5.9</formula>
    </cfRule>
    <cfRule type="expression" dxfId="1413" priority="956">
      <formula>Y25=""</formula>
    </cfRule>
  </conditionalFormatting>
  <conditionalFormatting sqref="Z24:AB24">
    <cfRule type="cellIs" dxfId="1412" priority="941" operator="greaterThanOrEqual">
      <formula>6</formula>
    </cfRule>
    <cfRule type="cellIs" dxfId="1411" priority="942" operator="between">
      <formula>0.1</formula>
      <formula>5.9</formula>
    </cfRule>
    <cfRule type="expression" dxfId="1410" priority="944">
      <formula>Z25=""</formula>
    </cfRule>
  </conditionalFormatting>
  <conditionalFormatting sqref="C27">
    <cfRule type="cellIs" dxfId="1409" priority="929" operator="greaterThanOrEqual">
      <formula>6</formula>
    </cfRule>
    <cfRule type="cellIs" dxfId="1408" priority="930" operator="between">
      <formula>0.1</formula>
      <formula>5.9</formula>
    </cfRule>
    <cfRule type="expression" dxfId="1407" priority="932">
      <formula>C28=""</formula>
    </cfRule>
  </conditionalFormatting>
  <conditionalFormatting sqref="D27">
    <cfRule type="cellIs" dxfId="1406" priority="917" operator="greaterThanOrEqual">
      <formula>6</formula>
    </cfRule>
    <cfRule type="cellIs" dxfId="1405" priority="918" operator="between">
      <formula>0.1</formula>
      <formula>5.9</formula>
    </cfRule>
    <cfRule type="expression" dxfId="1404" priority="920">
      <formula>D28=""</formula>
    </cfRule>
  </conditionalFormatting>
  <conditionalFormatting sqref="E27:G27">
    <cfRule type="cellIs" dxfId="1403" priority="905" operator="greaterThanOrEqual">
      <formula>6</formula>
    </cfRule>
    <cfRule type="cellIs" dxfId="1402" priority="906" operator="between">
      <formula>0.1</formula>
      <formula>5.9</formula>
    </cfRule>
    <cfRule type="expression" dxfId="1401" priority="908">
      <formula>E28=""</formula>
    </cfRule>
  </conditionalFormatting>
  <conditionalFormatting sqref="C29">
    <cfRule type="cellIs" dxfId="1400" priority="893" operator="greaterThanOrEqual">
      <formula>6</formula>
    </cfRule>
    <cfRule type="cellIs" dxfId="1399" priority="894" operator="between">
      <formula>0.1</formula>
      <formula>5.9</formula>
    </cfRule>
    <cfRule type="expression" dxfId="1398" priority="896">
      <formula>C30=""</formula>
    </cfRule>
  </conditionalFormatting>
  <conditionalFormatting sqref="D29">
    <cfRule type="cellIs" dxfId="1397" priority="881" operator="greaterThanOrEqual">
      <formula>6</formula>
    </cfRule>
    <cfRule type="cellIs" dxfId="1396" priority="882" operator="between">
      <formula>0.1</formula>
      <formula>5.9</formula>
    </cfRule>
    <cfRule type="expression" dxfId="1395" priority="884">
      <formula>D30=""</formula>
    </cfRule>
  </conditionalFormatting>
  <conditionalFormatting sqref="E29:G29">
    <cfRule type="cellIs" dxfId="1394" priority="869" operator="greaterThanOrEqual">
      <formula>6</formula>
    </cfRule>
    <cfRule type="cellIs" dxfId="1393" priority="870" operator="between">
      <formula>0.1</formula>
      <formula>5.9</formula>
    </cfRule>
    <cfRule type="expression" dxfId="1392" priority="872">
      <formula>E30=""</formula>
    </cfRule>
  </conditionalFormatting>
  <conditionalFormatting sqref="C31">
    <cfRule type="cellIs" dxfId="1391" priority="857" operator="greaterThanOrEqual">
      <formula>6</formula>
    </cfRule>
    <cfRule type="cellIs" dxfId="1390" priority="858" operator="between">
      <formula>0.1</formula>
      <formula>5.9</formula>
    </cfRule>
    <cfRule type="expression" dxfId="1389" priority="860">
      <formula>C32=""</formula>
    </cfRule>
  </conditionalFormatting>
  <conditionalFormatting sqref="D31">
    <cfRule type="cellIs" dxfId="1388" priority="845" operator="greaterThanOrEqual">
      <formula>6</formula>
    </cfRule>
    <cfRule type="cellIs" dxfId="1387" priority="846" operator="between">
      <formula>0.1</formula>
      <formula>5.9</formula>
    </cfRule>
    <cfRule type="expression" dxfId="1386" priority="848">
      <formula>D32=""</formula>
    </cfRule>
  </conditionalFormatting>
  <conditionalFormatting sqref="E31:G31">
    <cfRule type="cellIs" dxfId="1385" priority="833" operator="greaterThanOrEqual">
      <formula>6</formula>
    </cfRule>
    <cfRule type="cellIs" dxfId="1384" priority="834" operator="between">
      <formula>0.1</formula>
      <formula>5.9</formula>
    </cfRule>
    <cfRule type="expression" dxfId="1383" priority="836">
      <formula>E32=""</formula>
    </cfRule>
  </conditionalFormatting>
  <conditionalFormatting sqref="C33">
    <cfRule type="cellIs" dxfId="1382" priority="821" operator="greaterThanOrEqual">
      <formula>6</formula>
    </cfRule>
    <cfRule type="cellIs" dxfId="1381" priority="822" operator="between">
      <formula>0.1</formula>
      <formula>5.9</formula>
    </cfRule>
    <cfRule type="expression" dxfId="1380" priority="824">
      <formula>C34=""</formula>
    </cfRule>
  </conditionalFormatting>
  <conditionalFormatting sqref="D33">
    <cfRule type="cellIs" dxfId="1379" priority="809" operator="greaterThanOrEqual">
      <formula>6</formula>
    </cfRule>
    <cfRule type="cellIs" dxfId="1378" priority="810" operator="between">
      <formula>0.1</formula>
      <formula>5.9</formula>
    </cfRule>
    <cfRule type="expression" dxfId="1377" priority="812">
      <formula>D34=""</formula>
    </cfRule>
  </conditionalFormatting>
  <conditionalFormatting sqref="E33:G33">
    <cfRule type="cellIs" dxfId="1376" priority="797" operator="greaterThanOrEqual">
      <formula>6</formula>
    </cfRule>
    <cfRule type="cellIs" dxfId="1375" priority="798" operator="between">
      <formula>0.1</formula>
      <formula>5.9</formula>
    </cfRule>
    <cfRule type="expression" dxfId="1374" priority="800">
      <formula>E34=""</formula>
    </cfRule>
  </conditionalFormatting>
  <conditionalFormatting sqref="C35">
    <cfRule type="cellIs" dxfId="1373" priority="785" operator="greaterThanOrEqual">
      <formula>6</formula>
    </cfRule>
    <cfRule type="cellIs" dxfId="1372" priority="786" operator="between">
      <formula>0.1</formula>
      <formula>5.9</formula>
    </cfRule>
    <cfRule type="expression" dxfId="1371" priority="788">
      <formula>C36=""</formula>
    </cfRule>
  </conditionalFormatting>
  <conditionalFormatting sqref="D35">
    <cfRule type="cellIs" dxfId="1370" priority="773" operator="greaterThanOrEqual">
      <formula>6</formula>
    </cfRule>
    <cfRule type="cellIs" dxfId="1369" priority="774" operator="between">
      <formula>0.1</formula>
      <formula>5.9</formula>
    </cfRule>
    <cfRule type="expression" dxfId="1368" priority="776">
      <formula>D36=""</formula>
    </cfRule>
  </conditionalFormatting>
  <conditionalFormatting sqref="E35:G35">
    <cfRule type="cellIs" dxfId="1367" priority="761" operator="greaterThanOrEqual">
      <formula>6</formula>
    </cfRule>
    <cfRule type="cellIs" dxfId="1366" priority="762" operator="between">
      <formula>0.1</formula>
      <formula>5.9</formula>
    </cfRule>
    <cfRule type="expression" dxfId="1365" priority="764">
      <formula>E36=""</formula>
    </cfRule>
  </conditionalFormatting>
  <conditionalFormatting sqref="J27">
    <cfRule type="cellIs" dxfId="1364" priority="749" operator="greaterThanOrEqual">
      <formula>6</formula>
    </cfRule>
    <cfRule type="cellIs" dxfId="1363" priority="750" operator="between">
      <formula>0.1</formula>
      <formula>5.9</formula>
    </cfRule>
    <cfRule type="expression" dxfId="1362" priority="752">
      <formula>J28=""</formula>
    </cfRule>
  </conditionalFormatting>
  <conditionalFormatting sqref="K27">
    <cfRule type="cellIs" dxfId="1361" priority="737" operator="greaterThanOrEqual">
      <formula>6</formula>
    </cfRule>
    <cfRule type="cellIs" dxfId="1360" priority="738" operator="between">
      <formula>0.1</formula>
      <formula>5.9</formula>
    </cfRule>
    <cfRule type="expression" dxfId="1359" priority="740">
      <formula>K28=""</formula>
    </cfRule>
  </conditionalFormatting>
  <conditionalFormatting sqref="L27:N27">
    <cfRule type="cellIs" dxfId="1358" priority="725" operator="greaterThanOrEqual">
      <formula>6</formula>
    </cfRule>
    <cfRule type="cellIs" dxfId="1357" priority="726" operator="between">
      <formula>0.1</formula>
      <formula>5.9</formula>
    </cfRule>
    <cfRule type="expression" dxfId="1356" priority="728">
      <formula>L28=""</formula>
    </cfRule>
  </conditionalFormatting>
  <conditionalFormatting sqref="J29">
    <cfRule type="cellIs" dxfId="1355" priority="713" operator="greaterThanOrEqual">
      <formula>6</formula>
    </cfRule>
    <cfRule type="cellIs" dxfId="1354" priority="714" operator="between">
      <formula>0.1</formula>
      <formula>5.9</formula>
    </cfRule>
    <cfRule type="expression" dxfId="1353" priority="716">
      <formula>J30=""</formula>
    </cfRule>
  </conditionalFormatting>
  <conditionalFormatting sqref="K29">
    <cfRule type="cellIs" dxfId="1352" priority="701" operator="greaterThanOrEqual">
      <formula>6</formula>
    </cfRule>
    <cfRule type="cellIs" dxfId="1351" priority="702" operator="between">
      <formula>0.1</formula>
      <formula>5.9</formula>
    </cfRule>
    <cfRule type="expression" dxfId="1350" priority="704">
      <formula>K30=""</formula>
    </cfRule>
  </conditionalFormatting>
  <conditionalFormatting sqref="L29:N29">
    <cfRule type="cellIs" dxfId="1349" priority="689" operator="greaterThanOrEqual">
      <formula>6</formula>
    </cfRule>
    <cfRule type="cellIs" dxfId="1348" priority="690" operator="between">
      <formula>0.1</formula>
      <formula>5.9</formula>
    </cfRule>
    <cfRule type="expression" dxfId="1347" priority="692">
      <formula>L30=""</formula>
    </cfRule>
  </conditionalFormatting>
  <conditionalFormatting sqref="J31">
    <cfRule type="cellIs" dxfId="1346" priority="677" operator="greaterThanOrEqual">
      <formula>6</formula>
    </cfRule>
    <cfRule type="cellIs" dxfId="1345" priority="678" operator="between">
      <formula>0.1</formula>
      <formula>5.9</formula>
    </cfRule>
    <cfRule type="expression" dxfId="1344" priority="680">
      <formula>J32=""</formula>
    </cfRule>
  </conditionalFormatting>
  <conditionalFormatting sqref="K31">
    <cfRule type="cellIs" dxfId="1343" priority="665" operator="greaterThanOrEqual">
      <formula>6</formula>
    </cfRule>
    <cfRule type="cellIs" dxfId="1342" priority="666" operator="between">
      <formula>0.1</formula>
      <formula>5.9</formula>
    </cfRule>
    <cfRule type="expression" dxfId="1341" priority="668">
      <formula>K32=""</formula>
    </cfRule>
  </conditionalFormatting>
  <conditionalFormatting sqref="L31:N31">
    <cfRule type="cellIs" dxfId="1340" priority="653" operator="greaterThanOrEqual">
      <formula>6</formula>
    </cfRule>
    <cfRule type="cellIs" dxfId="1339" priority="654" operator="between">
      <formula>0.1</formula>
      <formula>5.9</formula>
    </cfRule>
    <cfRule type="expression" dxfId="1338" priority="656">
      <formula>L32=""</formula>
    </cfRule>
  </conditionalFormatting>
  <conditionalFormatting sqref="J33">
    <cfRule type="cellIs" dxfId="1337" priority="641" operator="greaterThanOrEqual">
      <formula>6</formula>
    </cfRule>
    <cfRule type="cellIs" dxfId="1336" priority="642" operator="between">
      <formula>0.1</formula>
      <formula>5.9</formula>
    </cfRule>
    <cfRule type="expression" dxfId="1335" priority="644">
      <formula>J34=""</formula>
    </cfRule>
  </conditionalFormatting>
  <conditionalFormatting sqref="K33">
    <cfRule type="cellIs" dxfId="1334" priority="629" operator="greaterThanOrEqual">
      <formula>6</formula>
    </cfRule>
    <cfRule type="cellIs" dxfId="1333" priority="630" operator="between">
      <formula>0.1</formula>
      <formula>5.9</formula>
    </cfRule>
    <cfRule type="expression" dxfId="1332" priority="632">
      <formula>K34=""</formula>
    </cfRule>
  </conditionalFormatting>
  <conditionalFormatting sqref="L33:N33">
    <cfRule type="cellIs" dxfId="1331" priority="617" operator="greaterThanOrEqual">
      <formula>6</formula>
    </cfRule>
    <cfRule type="cellIs" dxfId="1330" priority="618" operator="between">
      <formula>0.1</formula>
      <formula>5.9</formula>
    </cfRule>
    <cfRule type="expression" dxfId="1329" priority="620">
      <formula>L34=""</formula>
    </cfRule>
  </conditionalFormatting>
  <conditionalFormatting sqref="J35">
    <cfRule type="cellIs" dxfId="1328" priority="605" operator="greaterThanOrEqual">
      <formula>6</formula>
    </cfRule>
    <cfRule type="cellIs" dxfId="1327" priority="606" operator="between">
      <formula>0.1</formula>
      <formula>5.9</formula>
    </cfRule>
    <cfRule type="expression" dxfId="1326" priority="608">
      <formula>J36=""</formula>
    </cfRule>
  </conditionalFormatting>
  <conditionalFormatting sqref="K35">
    <cfRule type="cellIs" dxfId="1325" priority="593" operator="greaterThanOrEqual">
      <formula>6</formula>
    </cfRule>
    <cfRule type="cellIs" dxfId="1324" priority="594" operator="between">
      <formula>0.1</formula>
      <formula>5.9</formula>
    </cfRule>
    <cfRule type="expression" dxfId="1323" priority="596">
      <formula>K36=""</formula>
    </cfRule>
  </conditionalFormatting>
  <conditionalFormatting sqref="L35:N35">
    <cfRule type="cellIs" dxfId="1322" priority="581" operator="greaterThanOrEqual">
      <formula>6</formula>
    </cfRule>
    <cfRule type="cellIs" dxfId="1321" priority="582" operator="between">
      <formula>0.1</formula>
      <formula>5.9</formula>
    </cfRule>
    <cfRule type="expression" dxfId="1320" priority="584">
      <formula>L36=""</formula>
    </cfRule>
  </conditionalFormatting>
  <conditionalFormatting sqref="X27">
    <cfRule type="cellIs" dxfId="1319" priority="389" operator="greaterThanOrEqual">
      <formula>6</formula>
    </cfRule>
    <cfRule type="cellIs" dxfId="1318" priority="390" operator="between">
      <formula>0.1</formula>
      <formula>5.9</formula>
    </cfRule>
    <cfRule type="expression" dxfId="1317" priority="392">
      <formula>X28=""</formula>
    </cfRule>
  </conditionalFormatting>
  <conditionalFormatting sqref="Y27">
    <cfRule type="cellIs" dxfId="1316" priority="377" operator="greaterThanOrEqual">
      <formula>6</formula>
    </cfRule>
    <cfRule type="cellIs" dxfId="1315" priority="378" operator="between">
      <formula>0.1</formula>
      <formula>5.9</formula>
    </cfRule>
    <cfRule type="expression" dxfId="1314" priority="380">
      <formula>Y28=""</formula>
    </cfRule>
  </conditionalFormatting>
  <conditionalFormatting sqref="Z27:AB27">
    <cfRule type="cellIs" dxfId="1313" priority="365" operator="greaterThanOrEqual">
      <formula>6</formula>
    </cfRule>
    <cfRule type="cellIs" dxfId="1312" priority="366" operator="between">
      <formula>0.1</formula>
      <formula>5.9</formula>
    </cfRule>
    <cfRule type="expression" dxfId="1311" priority="368">
      <formula>Z28=""</formula>
    </cfRule>
  </conditionalFormatting>
  <conditionalFormatting sqref="X29">
    <cfRule type="cellIs" dxfId="1310" priority="353" operator="greaterThanOrEqual">
      <formula>6</formula>
    </cfRule>
    <cfRule type="cellIs" dxfId="1309" priority="354" operator="between">
      <formula>0.1</formula>
      <formula>5.9</formula>
    </cfRule>
    <cfRule type="expression" dxfId="1308" priority="356">
      <formula>X30=""</formula>
    </cfRule>
  </conditionalFormatting>
  <conditionalFormatting sqref="Y29">
    <cfRule type="cellIs" dxfId="1307" priority="341" operator="greaterThanOrEqual">
      <formula>6</formula>
    </cfRule>
    <cfRule type="cellIs" dxfId="1306" priority="342" operator="between">
      <formula>0.1</formula>
      <formula>5.9</formula>
    </cfRule>
    <cfRule type="expression" dxfId="1305" priority="344">
      <formula>Y30=""</formula>
    </cfRule>
  </conditionalFormatting>
  <conditionalFormatting sqref="Z29:AB29">
    <cfRule type="cellIs" dxfId="1304" priority="329" operator="greaterThanOrEqual">
      <formula>6</formula>
    </cfRule>
    <cfRule type="cellIs" dxfId="1303" priority="330" operator="between">
      <formula>0.1</formula>
      <formula>5.9</formula>
    </cfRule>
    <cfRule type="expression" dxfId="1302" priority="332">
      <formula>Z30=""</formula>
    </cfRule>
  </conditionalFormatting>
  <conditionalFormatting sqref="X31">
    <cfRule type="cellIs" dxfId="1301" priority="317" operator="greaterThanOrEqual">
      <formula>6</formula>
    </cfRule>
    <cfRule type="cellIs" dxfId="1300" priority="318" operator="between">
      <formula>0.1</formula>
      <formula>5.9</formula>
    </cfRule>
    <cfRule type="expression" dxfId="1299" priority="320">
      <formula>X32=""</formula>
    </cfRule>
  </conditionalFormatting>
  <conditionalFormatting sqref="Y31">
    <cfRule type="cellIs" dxfId="1298" priority="305" operator="greaterThanOrEqual">
      <formula>6</formula>
    </cfRule>
    <cfRule type="cellIs" dxfId="1297" priority="306" operator="between">
      <formula>0.1</formula>
      <formula>5.9</formula>
    </cfRule>
    <cfRule type="expression" dxfId="1296" priority="308">
      <formula>Y32=""</formula>
    </cfRule>
  </conditionalFormatting>
  <conditionalFormatting sqref="Z31:AB31">
    <cfRule type="cellIs" dxfId="1295" priority="293" operator="greaterThanOrEqual">
      <formula>6</formula>
    </cfRule>
    <cfRule type="cellIs" dxfId="1294" priority="294" operator="between">
      <formula>0.1</formula>
      <formula>5.9</formula>
    </cfRule>
    <cfRule type="expression" dxfId="1293" priority="296">
      <formula>Z32=""</formula>
    </cfRule>
  </conditionalFormatting>
  <conditionalFormatting sqref="X33">
    <cfRule type="cellIs" dxfId="1292" priority="281" operator="greaterThanOrEqual">
      <formula>6</formula>
    </cfRule>
    <cfRule type="cellIs" dxfId="1291" priority="282" operator="between">
      <formula>0.1</formula>
      <formula>5.9</formula>
    </cfRule>
    <cfRule type="expression" dxfId="1290" priority="284">
      <formula>X34=""</formula>
    </cfRule>
  </conditionalFormatting>
  <conditionalFormatting sqref="Y33">
    <cfRule type="cellIs" dxfId="1289" priority="269" operator="greaterThanOrEqual">
      <formula>6</formula>
    </cfRule>
    <cfRule type="cellIs" dxfId="1288" priority="270" operator="between">
      <formula>0.1</formula>
      <formula>5.9</formula>
    </cfRule>
    <cfRule type="expression" dxfId="1287" priority="272">
      <formula>Y34=""</formula>
    </cfRule>
  </conditionalFormatting>
  <conditionalFormatting sqref="Z33:AB33">
    <cfRule type="cellIs" dxfId="1286" priority="257" operator="greaterThanOrEqual">
      <formula>6</formula>
    </cfRule>
    <cfRule type="cellIs" dxfId="1285" priority="258" operator="between">
      <formula>0.1</formula>
      <formula>5.9</formula>
    </cfRule>
    <cfRule type="expression" dxfId="1284" priority="260">
      <formula>Z34=""</formula>
    </cfRule>
  </conditionalFormatting>
  <conditionalFormatting sqref="X35">
    <cfRule type="cellIs" dxfId="1283" priority="245" operator="greaterThanOrEqual">
      <formula>6</formula>
    </cfRule>
    <cfRule type="cellIs" dxfId="1282" priority="246" operator="between">
      <formula>0.1</formula>
      <formula>5.9</formula>
    </cfRule>
    <cfRule type="expression" dxfId="1281" priority="248">
      <formula>X36=""</formula>
    </cfRule>
  </conditionalFormatting>
  <conditionalFormatting sqref="Y35">
    <cfRule type="cellIs" dxfId="1280" priority="233" operator="greaterThanOrEqual">
      <formula>6</formula>
    </cfRule>
    <cfRule type="cellIs" dxfId="1279" priority="234" operator="between">
      <formula>0.1</formula>
      <formula>5.9</formula>
    </cfRule>
    <cfRule type="expression" dxfId="1278" priority="236">
      <formula>Y36=""</formula>
    </cfRule>
  </conditionalFormatting>
  <conditionalFormatting sqref="Z35:AB35">
    <cfRule type="cellIs" dxfId="1277" priority="221" operator="greaterThanOrEqual">
      <formula>6</formula>
    </cfRule>
    <cfRule type="cellIs" dxfId="1276" priority="222" operator="between">
      <formula>0.1</formula>
      <formula>5.9</formula>
    </cfRule>
    <cfRule type="expression" dxfId="1275" priority="224">
      <formula>Z36=""</formula>
    </cfRule>
  </conditionalFormatting>
  <conditionalFormatting sqref="Q27">
    <cfRule type="cellIs" dxfId="1274" priority="101" operator="greaterThanOrEqual">
      <formula>6</formula>
    </cfRule>
    <cfRule type="cellIs" dxfId="1273" priority="102" operator="between">
      <formula>0.1</formula>
      <formula>5.9</formula>
    </cfRule>
    <cfRule type="expression" dxfId="1272" priority="104">
      <formula>Q28=""</formula>
    </cfRule>
  </conditionalFormatting>
  <conditionalFormatting sqref="R27">
    <cfRule type="cellIs" dxfId="1271" priority="94" operator="greaterThanOrEqual">
      <formula>6</formula>
    </cfRule>
    <cfRule type="cellIs" dxfId="1270" priority="95" operator="between">
      <formula>0.1</formula>
      <formula>5.9</formula>
    </cfRule>
    <cfRule type="expression" dxfId="1269" priority="97">
      <formula>R28=""</formula>
    </cfRule>
  </conditionalFormatting>
  <conditionalFormatting sqref="S27:U27">
    <cfRule type="cellIs" dxfId="1268" priority="87" operator="greaterThanOrEqual">
      <formula>6</formula>
    </cfRule>
    <cfRule type="cellIs" dxfId="1267" priority="88" operator="between">
      <formula>0.1</formula>
      <formula>5.9</formula>
    </cfRule>
    <cfRule type="expression" dxfId="1266" priority="90">
      <formula>S28=""</formula>
    </cfRule>
  </conditionalFormatting>
  <conditionalFormatting sqref="Q29">
    <cfRule type="cellIs" dxfId="1265" priority="80" operator="greaterThanOrEqual">
      <formula>6</formula>
    </cfRule>
    <cfRule type="cellIs" dxfId="1264" priority="81" operator="between">
      <formula>0.1</formula>
      <formula>5.9</formula>
    </cfRule>
    <cfRule type="expression" dxfId="1263" priority="83">
      <formula>Q30=""</formula>
    </cfRule>
  </conditionalFormatting>
  <conditionalFormatting sqref="R29">
    <cfRule type="cellIs" dxfId="1262" priority="73" operator="greaterThanOrEqual">
      <formula>6</formula>
    </cfRule>
    <cfRule type="cellIs" dxfId="1261" priority="74" operator="between">
      <formula>0.1</formula>
      <formula>5.9</formula>
    </cfRule>
    <cfRule type="expression" dxfId="1260" priority="76">
      <formula>R30=""</formula>
    </cfRule>
  </conditionalFormatting>
  <conditionalFormatting sqref="S29:U29">
    <cfRule type="cellIs" dxfId="1259" priority="66" operator="greaterThanOrEqual">
      <formula>6</formula>
    </cfRule>
    <cfRule type="cellIs" dxfId="1258" priority="67" operator="between">
      <formula>0.1</formula>
      <formula>5.9</formula>
    </cfRule>
    <cfRule type="expression" dxfId="1257" priority="69">
      <formula>S30=""</formula>
    </cfRule>
  </conditionalFormatting>
  <conditionalFormatting sqref="Q31">
    <cfRule type="cellIs" dxfId="1256" priority="59" operator="greaterThanOrEqual">
      <formula>6</formula>
    </cfRule>
    <cfRule type="cellIs" dxfId="1255" priority="60" operator="between">
      <formula>0.1</formula>
      <formula>5.9</formula>
    </cfRule>
    <cfRule type="expression" dxfId="1254" priority="62">
      <formula>Q32=""</formula>
    </cfRule>
  </conditionalFormatting>
  <conditionalFormatting sqref="R31">
    <cfRule type="cellIs" dxfId="1253" priority="52" operator="greaterThanOrEqual">
      <formula>6</formula>
    </cfRule>
    <cfRule type="cellIs" dxfId="1252" priority="53" operator="between">
      <formula>0.1</formula>
      <formula>5.9</formula>
    </cfRule>
    <cfRule type="expression" dxfId="1251" priority="55">
      <formula>R32=""</formula>
    </cfRule>
  </conditionalFormatting>
  <conditionalFormatting sqref="S31:U31">
    <cfRule type="cellIs" dxfId="1250" priority="45" operator="greaterThanOrEqual">
      <formula>6</formula>
    </cfRule>
    <cfRule type="cellIs" dxfId="1249" priority="46" operator="between">
      <formula>0.1</formula>
      <formula>5.9</formula>
    </cfRule>
    <cfRule type="expression" dxfId="1248" priority="48">
      <formula>S32=""</formula>
    </cfRule>
  </conditionalFormatting>
  <conditionalFormatting sqref="Q33">
    <cfRule type="cellIs" dxfId="1247" priority="38" operator="greaterThanOrEqual">
      <formula>6</formula>
    </cfRule>
    <cfRule type="cellIs" dxfId="1246" priority="39" operator="between">
      <formula>0.1</formula>
      <formula>5.9</formula>
    </cfRule>
    <cfRule type="expression" dxfId="1245" priority="41">
      <formula>Q34=""</formula>
    </cfRule>
  </conditionalFormatting>
  <conditionalFormatting sqref="R33">
    <cfRule type="cellIs" dxfId="1244" priority="31" operator="greaterThanOrEqual">
      <formula>6</formula>
    </cfRule>
    <cfRule type="cellIs" dxfId="1243" priority="32" operator="between">
      <formula>0.1</formula>
      <formula>5.9</formula>
    </cfRule>
    <cfRule type="expression" dxfId="1242" priority="34">
      <formula>R34=""</formula>
    </cfRule>
  </conditionalFormatting>
  <conditionalFormatting sqref="S33:U33">
    <cfRule type="cellIs" dxfId="1241" priority="24" operator="greaterThanOrEqual">
      <formula>6</formula>
    </cfRule>
    <cfRule type="cellIs" dxfId="1240" priority="25" operator="between">
      <formula>0.1</formula>
      <formula>5.9</formula>
    </cfRule>
    <cfRule type="expression" dxfId="1239" priority="27">
      <formula>S34=""</formula>
    </cfRule>
  </conditionalFormatting>
  <conditionalFormatting sqref="Q35">
    <cfRule type="cellIs" dxfId="1238" priority="17" operator="greaterThanOrEqual">
      <formula>6</formula>
    </cfRule>
    <cfRule type="cellIs" dxfId="1237" priority="18" operator="between">
      <formula>0.1</formula>
      <formula>5.9</formula>
    </cfRule>
    <cfRule type="expression" dxfId="1236" priority="20">
      <formula>Q36=""</formula>
    </cfRule>
  </conditionalFormatting>
  <conditionalFormatting sqref="R35">
    <cfRule type="cellIs" dxfId="1235" priority="10" operator="greaterThanOrEqual">
      <formula>6</formula>
    </cfRule>
    <cfRule type="cellIs" dxfId="1234" priority="11" operator="between">
      <formula>0.1</formula>
      <formula>5.9</formula>
    </cfRule>
    <cfRule type="expression" dxfId="1233" priority="13">
      <formula>R36=""</formula>
    </cfRule>
  </conditionalFormatting>
  <conditionalFormatting sqref="S35:U35">
    <cfRule type="cellIs" dxfId="1232" priority="3" operator="greaterThanOrEqual">
      <formula>6</formula>
    </cfRule>
    <cfRule type="cellIs" dxfId="1231" priority="4" operator="between">
      <formula>0.1</formula>
      <formula>5.9</formula>
    </cfRule>
    <cfRule type="expression" dxfId="1230" priority="6">
      <formula>S36=""</formula>
    </cfRule>
  </conditionalFormatting>
  <dataValidations xWindow="802" yWindow="690" count="3">
    <dataValidation type="decimal" allowBlank="1" showInputMessage="1" showErrorMessage="1" sqref="M41" xr:uid="{00000000-0002-0000-0200-000000000000}">
      <formula1>0</formula1>
      <formula2>8</formula2>
    </dataValidation>
    <dataValidation type="decimal" allowBlank="1" showErrorMessage="1" promptTitle="Entering" prompt="Enter how many hours per day Teacher B will work." sqref="C27:G27 C29:G29 C31:G31 C33:G33 C35:G35 J27:N27 J29:N29 J31:N31 J33:N33 J35:N35 X18:AB18 X20:AB20 X22:AB22 C16:G16 Q35:U35 X27:AB27 X29:AB29 X31:AB31 X33:AB33 X35:AB35 X38:AB38 X40:AB40 E8 X24:AB24 C18:G18 C20:G20 C22:G22 C24:G24 J5:N5 J7:N7 J9:N9 J11:N11 J13:N13 J16:N16 J18:N18 J20:N20 J22:N22 J24:N24 Q5:U5 Q7:U7 Q9:U9 Q11:U11 Q13:U13 Q16:U16 Q18:U18 Q20:U20 Q22:U22 Q24:U24 X5:AB5 X7:AB7 X9:AB9 X11:AB11 X13:AB13 X16:AB16 Q27:U27 Q29:U29 Q31:U31 Q33:U33" xr:uid="{00000000-0002-0000-0200-000001000000}">
      <formula1>0</formula1>
      <formula2>8</formula2>
    </dataValidation>
    <dataValidation type="decimal" allowBlank="1" showErrorMessage="1" promptTitle="Entering" prompt="Enter how many hours per day Teacher B will work.  " sqref="C5:G5 C7:G7 C9:G9 C11:G11 C13:G13" xr:uid="{00000000-0002-0000-0200-000002000000}">
      <formula1>0</formula1>
      <formula2>8</formula2>
    </dataValidation>
  </dataValidations>
  <pageMargins left="0.25" right="0.25" top="0.75" bottom="0.75" header="0.3" footer="0.3"/>
  <pageSetup scale="58" orientation="landscape" r:id="rId1"/>
  <headerFooter>
    <oddHeader xml:space="preserve">&amp;L&amp;G&amp;C&amp;"-,Bold"&amp;16&amp;K04+000Job Share Calendar &amp;"-,Regular"&amp;14&amp;K01+000
&amp;R&amp;"-,Bold"&amp;16Teacher B&amp;K000000
&amp;"-,Regular"&amp;K01+000
</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745" operator="containsText" id="{9280DAFA-2535-49F0-8C70-B2A11D807EB9}">
            <xm:f>NOT(ISERROR(SEARCH("û",AB43)))</xm:f>
            <xm:f>"û"</xm:f>
            <x14:dxf>
              <font>
                <color rgb="FFFF0000"/>
              </font>
            </x14:dxf>
          </x14:cfRule>
          <x14:cfRule type="containsText" priority="3746" operator="containsText" id="{3B6C6D20-0DBC-4458-95D6-DFCA1D86535C}">
            <xm:f>NOT(ISERROR(SEARCH("ü",AB43)))</xm:f>
            <xm:f>"ü"</xm:f>
            <x14:dxf>
              <font>
                <color theme="9" tint="-0.24994659260841701"/>
              </font>
            </x14:dxf>
          </x14:cfRule>
          <xm:sqref>AB43</xm:sqref>
        </x14:conditionalFormatting>
        <x14:conditionalFormatting xmlns:xm="http://schemas.microsoft.com/office/excel/2006/main">
          <x14:cfRule type="expression" priority="2363" id="{C1A85EDA-CCBD-4E21-A4B0-946814627EA6}">
            <xm:f>AND(VLOOKUP(C6,Calendars!$O$1:$U$398,MATCH($X$1,Calendars!$O$1:$U$1,0),FALSE)="Non Contract",$C$5&gt;0)</xm:f>
            <x14:dxf>
              <fill>
                <patternFill patternType="solid">
                  <fgColor theme="4" tint="0.79998168889431442"/>
                  <bgColor theme="8" tint="0.79995117038483843"/>
                </patternFill>
              </fill>
            </x14:dxf>
          </x14:cfRule>
          <xm:sqref>C5</xm:sqref>
        </x14:conditionalFormatting>
        <x14:conditionalFormatting xmlns:xm="http://schemas.microsoft.com/office/excel/2006/main">
          <x14:cfRule type="expression" priority="2373" id="{782AD7F0-9547-4A19-BDAD-5EDDD9069814}">
            <xm:f>AND(VLOOKUP(C6,Calendars!$O$1:$U$398,MATCH($X$1,Calendars!$O$1:$U$1,0),FALSE)="",C5=0)</xm:f>
            <x14:dxf>
              <fill>
                <patternFill>
                  <bgColor theme="7" tint="0.79998168889431442"/>
                </patternFill>
              </fill>
            </x14:dxf>
          </x14:cfRule>
          <xm:sqref>C5</xm:sqref>
        </x14:conditionalFormatting>
        <x14:conditionalFormatting xmlns:xm="http://schemas.microsoft.com/office/excel/2006/main">
          <x14:cfRule type="expression" priority="2362" id="{2D839411-D3BE-43B8-AA3E-881226F53B7A}">
            <xm:f>VLOOKUP(C6,Calendars!$O$1:$U$398,MATCH($X$1,Calendars!$O$1:$U$1,0),FALSE)="Non Contract"</xm:f>
            <x14:dxf>
              <fill>
                <patternFill patternType="lightDown"/>
              </fill>
              <border>
                <bottom/>
              </border>
            </x14:dxf>
          </x14:cfRule>
          <x14:cfRule type="expression" priority="2371" id="{9D97F3BB-9F10-4DF2-A25B-DC0F2CC748A1}">
            <xm:f>VLOOKUP(C6,Calendars!$O$1:$U$398,MATCH($X$1,Calendars!$O$1:$U$1,0),FALSE)="Holiday"</xm:f>
            <x14:dxf>
              <fill>
                <patternFill>
                  <bgColor rgb="FFFF99FF"/>
                </patternFill>
              </fill>
              <border>
                <bottom/>
              </border>
            </x14:dxf>
          </x14:cfRule>
          <xm:sqref>C5</xm:sqref>
        </x14:conditionalFormatting>
        <x14:conditionalFormatting xmlns:xm="http://schemas.microsoft.com/office/excel/2006/main">
          <x14:cfRule type="expression" priority="2351" id="{093C90F3-2827-492F-AA29-F7A9516FEFBC}">
            <xm:f>AND(VLOOKUP(D6,Calendars!$O$1:$U$398,MATCH($X$1,Calendars!$O$1:$U$1,0),FALSE)="Non Contract",$C$5&gt;0)</xm:f>
            <x14:dxf>
              <fill>
                <patternFill patternType="solid">
                  <fgColor theme="4" tint="0.79998168889431442"/>
                  <bgColor theme="8" tint="0.79995117038483843"/>
                </patternFill>
              </fill>
            </x14:dxf>
          </x14:cfRule>
          <xm:sqref>D5</xm:sqref>
        </x14:conditionalFormatting>
        <x14:conditionalFormatting xmlns:xm="http://schemas.microsoft.com/office/excel/2006/main">
          <x14:cfRule type="expression" priority="2361" id="{DD56D0DB-12D9-4B83-A305-9E262827AC84}">
            <xm:f>AND(VLOOKUP(D6,Calendars!$O$1:$U$398,MATCH($X$1,Calendars!$O$1:$U$1,0),FALSE)="",D5=0)</xm:f>
            <x14:dxf>
              <fill>
                <patternFill>
                  <bgColor theme="7" tint="0.79998168889431442"/>
                </patternFill>
              </fill>
            </x14:dxf>
          </x14:cfRule>
          <xm:sqref>D5</xm:sqref>
        </x14:conditionalFormatting>
        <x14:conditionalFormatting xmlns:xm="http://schemas.microsoft.com/office/excel/2006/main">
          <x14:cfRule type="expression" priority="2350" id="{1C9E8A4D-4D6F-4D81-95EB-6568CA37D6E9}">
            <xm:f>VLOOKUP(D6,Calendars!$O$1:$U$398,MATCH($X$1,Calendars!$O$1:$U$1,0),FALSE)="Non Contract"</xm:f>
            <x14:dxf>
              <fill>
                <patternFill patternType="lightDown"/>
              </fill>
              <border>
                <bottom/>
              </border>
            </x14:dxf>
          </x14:cfRule>
          <x14:cfRule type="expression" priority="2359" id="{24719063-5808-4FF3-B3C7-620D4852BA99}">
            <xm:f>VLOOKUP(D6,Calendars!$O$1:$U$398,MATCH($X$1,Calendars!$O$1:$U$1,0),FALSE)="Holiday"</xm:f>
            <x14:dxf>
              <fill>
                <patternFill>
                  <bgColor rgb="FFFF99FF"/>
                </patternFill>
              </fill>
              <border>
                <bottom/>
              </border>
            </x14:dxf>
          </x14:cfRule>
          <xm:sqref>D5</xm:sqref>
        </x14:conditionalFormatting>
        <x14:conditionalFormatting xmlns:xm="http://schemas.microsoft.com/office/excel/2006/main">
          <x14:cfRule type="expression" priority="2339" id="{30847D96-6240-4D11-AB08-0F485B16E133}">
            <xm:f>AND(VLOOKUP(E6,Calendars!$O$1:$U$398,MATCH($X$1,Calendars!$O$1:$U$1,0),FALSE)="Non Contract",$C$5&gt;0)</xm:f>
            <x14:dxf>
              <fill>
                <patternFill patternType="solid">
                  <fgColor theme="4" tint="0.79998168889431442"/>
                  <bgColor theme="8" tint="0.79995117038483843"/>
                </patternFill>
              </fill>
            </x14:dxf>
          </x14:cfRule>
          <xm:sqref>E5:G5</xm:sqref>
        </x14:conditionalFormatting>
        <x14:conditionalFormatting xmlns:xm="http://schemas.microsoft.com/office/excel/2006/main">
          <x14:cfRule type="expression" priority="2349" id="{CAF9F229-9D30-4658-8F8A-CA90E4B8DDF8}">
            <xm:f>AND(VLOOKUP(E6,Calendars!$O$1:$U$398,MATCH($X$1,Calendars!$O$1:$U$1,0),FALSE)="",E5=0)</xm:f>
            <x14:dxf>
              <fill>
                <patternFill>
                  <bgColor theme="7" tint="0.79998168889431442"/>
                </patternFill>
              </fill>
            </x14:dxf>
          </x14:cfRule>
          <xm:sqref>E5:G5</xm:sqref>
        </x14:conditionalFormatting>
        <x14:conditionalFormatting xmlns:xm="http://schemas.microsoft.com/office/excel/2006/main">
          <x14:cfRule type="expression" priority="2338" id="{26F52970-9A84-45A5-9726-31FBF7B9110E}">
            <xm:f>VLOOKUP(E6,Calendars!$O$1:$U$398,MATCH($X$1,Calendars!$O$1:$U$1,0),FALSE)="Non Contract"</xm:f>
            <x14:dxf>
              <fill>
                <patternFill patternType="lightDown"/>
              </fill>
              <border>
                <bottom/>
              </border>
            </x14:dxf>
          </x14:cfRule>
          <x14:cfRule type="expression" priority="2347" id="{2841C8E8-7E6F-48EF-9736-F3ED1AEE5905}">
            <xm:f>VLOOKUP(E6,Calendars!$O$1:$U$398,MATCH($X$1,Calendars!$O$1:$U$1,0),FALSE)="Holiday"</xm:f>
            <x14:dxf>
              <fill>
                <patternFill>
                  <bgColor rgb="FFFF99FF"/>
                </patternFill>
              </fill>
              <border>
                <bottom/>
              </border>
            </x14:dxf>
          </x14:cfRule>
          <xm:sqref>E5:G5</xm:sqref>
        </x14:conditionalFormatting>
        <x14:conditionalFormatting xmlns:xm="http://schemas.microsoft.com/office/excel/2006/main">
          <x14:cfRule type="expression" priority="2327" id="{12D02870-DF68-493C-99DF-24B3179FE6FC}">
            <xm:f>AND(VLOOKUP(C8,Calendars!$O$1:$U$398,MATCH($X$1,Calendars!$O$1:$U$1,0),FALSE)="Non Contract",$C$5&gt;0)</xm:f>
            <x14:dxf>
              <fill>
                <patternFill patternType="solid">
                  <fgColor theme="4" tint="0.79998168889431442"/>
                  <bgColor theme="8" tint="0.79995117038483843"/>
                </patternFill>
              </fill>
            </x14:dxf>
          </x14:cfRule>
          <xm:sqref>C7</xm:sqref>
        </x14:conditionalFormatting>
        <x14:conditionalFormatting xmlns:xm="http://schemas.microsoft.com/office/excel/2006/main">
          <x14:cfRule type="expression" priority="2337" id="{C6CBCDD5-3727-41DA-9638-88F0DFE9BDD4}">
            <xm:f>AND(VLOOKUP(C8,Calendars!$O$1:$U$398,MATCH($X$1,Calendars!$O$1:$U$1,0),FALSE)="",C7=0)</xm:f>
            <x14:dxf>
              <fill>
                <patternFill>
                  <bgColor theme="7" tint="0.79998168889431442"/>
                </patternFill>
              </fill>
            </x14:dxf>
          </x14:cfRule>
          <xm:sqref>C7</xm:sqref>
        </x14:conditionalFormatting>
        <x14:conditionalFormatting xmlns:xm="http://schemas.microsoft.com/office/excel/2006/main">
          <x14:cfRule type="expression" priority="2326" id="{B3011B93-C64B-4F33-911A-75873D185625}">
            <xm:f>VLOOKUP(C8,Calendars!$O$1:$U$398,MATCH($X$1,Calendars!$O$1:$U$1,0),FALSE)="Non Contract"</xm:f>
            <x14:dxf>
              <fill>
                <patternFill patternType="lightDown"/>
              </fill>
              <border>
                <bottom/>
              </border>
            </x14:dxf>
          </x14:cfRule>
          <x14:cfRule type="expression" priority="2335" id="{0DEB2477-17FD-480D-A9ED-FD1DDDC71846}">
            <xm:f>VLOOKUP(C8,Calendars!$O$1:$U$398,MATCH($X$1,Calendars!$O$1:$U$1,0),FALSE)="Holiday"</xm:f>
            <x14:dxf>
              <fill>
                <patternFill>
                  <bgColor rgb="FFFF99FF"/>
                </patternFill>
              </fill>
              <border>
                <bottom/>
              </border>
            </x14:dxf>
          </x14:cfRule>
          <xm:sqref>C7</xm:sqref>
        </x14:conditionalFormatting>
        <x14:conditionalFormatting xmlns:xm="http://schemas.microsoft.com/office/excel/2006/main">
          <x14:cfRule type="expression" priority="2315" id="{838D5A62-AF5D-404D-8F47-7931ADC9C46E}">
            <xm:f>AND(VLOOKUP(D8,Calendars!$O$1:$U$398,MATCH($X$1,Calendars!$O$1:$U$1,0),FALSE)="Non Contract",$C$5&gt;0)</xm:f>
            <x14:dxf>
              <fill>
                <patternFill patternType="solid">
                  <fgColor theme="4" tint="0.79998168889431442"/>
                  <bgColor theme="8" tint="0.79995117038483843"/>
                </patternFill>
              </fill>
            </x14:dxf>
          </x14:cfRule>
          <xm:sqref>D7</xm:sqref>
        </x14:conditionalFormatting>
        <x14:conditionalFormatting xmlns:xm="http://schemas.microsoft.com/office/excel/2006/main">
          <x14:cfRule type="expression" priority="2325" id="{C0E01AC1-9E34-412C-9B91-12184C67F014}">
            <xm:f>AND(VLOOKUP(D8,Calendars!$O$1:$U$398,MATCH($X$1,Calendars!$O$1:$U$1,0),FALSE)="",D7=0)</xm:f>
            <x14:dxf>
              <fill>
                <patternFill>
                  <bgColor theme="7" tint="0.79998168889431442"/>
                </patternFill>
              </fill>
            </x14:dxf>
          </x14:cfRule>
          <xm:sqref>D7</xm:sqref>
        </x14:conditionalFormatting>
        <x14:conditionalFormatting xmlns:xm="http://schemas.microsoft.com/office/excel/2006/main">
          <x14:cfRule type="expression" priority="2314" id="{254CD3BB-5743-4E0B-9616-AB94C1816EC4}">
            <xm:f>VLOOKUP(D8,Calendars!$O$1:$U$398,MATCH($X$1,Calendars!$O$1:$U$1,0),FALSE)="Non Contract"</xm:f>
            <x14:dxf>
              <fill>
                <patternFill patternType="lightDown"/>
              </fill>
              <border>
                <bottom/>
              </border>
            </x14:dxf>
          </x14:cfRule>
          <x14:cfRule type="expression" priority="2323" id="{E67E1E5A-995D-4F2A-9B04-38ED2B8B3120}">
            <xm:f>VLOOKUP(D8,Calendars!$O$1:$U$398,MATCH($X$1,Calendars!$O$1:$U$1,0),FALSE)="Holiday"</xm:f>
            <x14:dxf>
              <fill>
                <patternFill>
                  <bgColor rgb="FFFF99FF"/>
                </patternFill>
              </fill>
              <border>
                <bottom/>
              </border>
            </x14:dxf>
          </x14:cfRule>
          <xm:sqref>D7</xm:sqref>
        </x14:conditionalFormatting>
        <x14:conditionalFormatting xmlns:xm="http://schemas.microsoft.com/office/excel/2006/main">
          <x14:cfRule type="expression" priority="2303" id="{4A5BD9B7-B9C0-48A3-9783-808B7C30F5A6}">
            <xm:f>AND(VLOOKUP(E8,Calendars!$O$1:$U$398,MATCH($X$1,Calendars!$O$1:$U$1,0),FALSE)="Non Contract",$C$5&gt;0)</xm:f>
            <x14:dxf>
              <fill>
                <patternFill patternType="solid">
                  <fgColor theme="4" tint="0.79998168889431442"/>
                  <bgColor theme="8" tint="0.79995117038483843"/>
                </patternFill>
              </fill>
            </x14:dxf>
          </x14:cfRule>
          <xm:sqref>E7:G7</xm:sqref>
        </x14:conditionalFormatting>
        <x14:conditionalFormatting xmlns:xm="http://schemas.microsoft.com/office/excel/2006/main">
          <x14:cfRule type="expression" priority="2313" id="{8CA40842-E3D7-4ACB-90D2-2826789E61EE}">
            <xm:f>AND(VLOOKUP(E8,Calendars!$O$1:$U$398,MATCH($X$1,Calendars!$O$1:$U$1,0),FALSE)="",E7=0)</xm:f>
            <x14:dxf>
              <fill>
                <patternFill>
                  <bgColor theme="7" tint="0.79998168889431442"/>
                </patternFill>
              </fill>
            </x14:dxf>
          </x14:cfRule>
          <xm:sqref>E7:G7</xm:sqref>
        </x14:conditionalFormatting>
        <x14:conditionalFormatting xmlns:xm="http://schemas.microsoft.com/office/excel/2006/main">
          <x14:cfRule type="expression" priority="2302" id="{4D386279-0286-435A-9802-87B13CB8CA34}">
            <xm:f>VLOOKUP(E8,Calendars!$O$1:$U$398,MATCH($X$1,Calendars!$O$1:$U$1,0),FALSE)="Non Contract"</xm:f>
            <x14:dxf>
              <fill>
                <patternFill patternType="lightDown"/>
              </fill>
              <border>
                <bottom/>
              </border>
            </x14:dxf>
          </x14:cfRule>
          <x14:cfRule type="expression" priority="2311" id="{1D78186D-E413-4133-BEE4-247FCDB94F99}">
            <xm:f>VLOOKUP(E8,Calendars!$O$1:$U$398,MATCH($X$1,Calendars!$O$1:$U$1,0),FALSE)="Holiday"</xm:f>
            <x14:dxf>
              <fill>
                <patternFill>
                  <bgColor rgb="FFFF99FF"/>
                </patternFill>
              </fill>
              <border>
                <bottom/>
              </border>
            </x14:dxf>
          </x14:cfRule>
          <xm:sqref>E7:G7</xm:sqref>
        </x14:conditionalFormatting>
        <x14:conditionalFormatting xmlns:xm="http://schemas.microsoft.com/office/excel/2006/main">
          <x14:cfRule type="expression" priority="2291" id="{EE92DC59-6BEB-434A-A423-247BE4BAC0D7}">
            <xm:f>AND(VLOOKUP(C10,Calendars!$O$1:$U$398,MATCH($X$1,Calendars!$O$1:$U$1,0),FALSE)="Non Contract",$C$5&gt;0)</xm:f>
            <x14:dxf>
              <fill>
                <patternFill patternType="solid">
                  <fgColor theme="4" tint="0.79998168889431442"/>
                  <bgColor theme="8" tint="0.79995117038483843"/>
                </patternFill>
              </fill>
            </x14:dxf>
          </x14:cfRule>
          <xm:sqref>C9</xm:sqref>
        </x14:conditionalFormatting>
        <x14:conditionalFormatting xmlns:xm="http://schemas.microsoft.com/office/excel/2006/main">
          <x14:cfRule type="expression" priority="2301" id="{DA33D623-C5E6-4DD2-AE2A-1E67132E5EF0}">
            <xm:f>AND(VLOOKUP(C10,Calendars!$O$1:$U$398,MATCH($X$1,Calendars!$O$1:$U$1,0),FALSE)="",C9=0)</xm:f>
            <x14:dxf>
              <fill>
                <patternFill>
                  <bgColor theme="7" tint="0.79998168889431442"/>
                </patternFill>
              </fill>
            </x14:dxf>
          </x14:cfRule>
          <xm:sqref>C9</xm:sqref>
        </x14:conditionalFormatting>
        <x14:conditionalFormatting xmlns:xm="http://schemas.microsoft.com/office/excel/2006/main">
          <x14:cfRule type="expression" priority="2290" id="{E4F7FE57-BCFF-4DBE-9989-B90A39F50ED3}">
            <xm:f>VLOOKUP(C10,Calendars!$O$1:$U$398,MATCH($X$1,Calendars!$O$1:$U$1,0),FALSE)="Non Contract"</xm:f>
            <x14:dxf>
              <fill>
                <patternFill patternType="lightDown"/>
              </fill>
              <border>
                <bottom/>
              </border>
            </x14:dxf>
          </x14:cfRule>
          <x14:cfRule type="expression" priority="2299" id="{BB499BE8-4D26-402B-B1BB-6054551B1C10}">
            <xm:f>VLOOKUP(C10,Calendars!$O$1:$U$398,MATCH($X$1,Calendars!$O$1:$U$1,0),FALSE)="Holiday"</xm:f>
            <x14:dxf>
              <fill>
                <patternFill>
                  <bgColor rgb="FFFF99FF"/>
                </patternFill>
              </fill>
              <border>
                <bottom/>
              </border>
            </x14:dxf>
          </x14:cfRule>
          <xm:sqref>C9</xm:sqref>
        </x14:conditionalFormatting>
        <x14:conditionalFormatting xmlns:xm="http://schemas.microsoft.com/office/excel/2006/main">
          <x14:cfRule type="expression" priority="2279" id="{CFB4701C-8AA0-4003-9319-D37617CEBD28}">
            <xm:f>AND(VLOOKUP(D10,Calendars!$O$1:$U$398,MATCH($X$1,Calendars!$O$1:$U$1,0),FALSE)="Non Contract",$C$5&gt;0)</xm:f>
            <x14:dxf>
              <fill>
                <patternFill patternType="solid">
                  <fgColor theme="4" tint="0.79998168889431442"/>
                  <bgColor theme="8" tint="0.79995117038483843"/>
                </patternFill>
              </fill>
            </x14:dxf>
          </x14:cfRule>
          <xm:sqref>D9</xm:sqref>
        </x14:conditionalFormatting>
        <x14:conditionalFormatting xmlns:xm="http://schemas.microsoft.com/office/excel/2006/main">
          <x14:cfRule type="expression" priority="2289" id="{122E801A-48A7-491B-B90C-D0407E6D874E}">
            <xm:f>AND(VLOOKUP(D10,Calendars!$O$1:$U$398,MATCH($X$1,Calendars!$O$1:$U$1,0),FALSE)="",D9=0)</xm:f>
            <x14:dxf>
              <fill>
                <patternFill>
                  <bgColor theme="7" tint="0.79998168889431442"/>
                </patternFill>
              </fill>
            </x14:dxf>
          </x14:cfRule>
          <xm:sqref>D9</xm:sqref>
        </x14:conditionalFormatting>
        <x14:conditionalFormatting xmlns:xm="http://schemas.microsoft.com/office/excel/2006/main">
          <x14:cfRule type="expression" priority="2278" id="{3627A562-D2FE-45C7-BBC6-DD86BF05DD3B}">
            <xm:f>VLOOKUP(D10,Calendars!$O$1:$U$398,MATCH($X$1,Calendars!$O$1:$U$1,0),FALSE)="Non Contract"</xm:f>
            <x14:dxf>
              <fill>
                <patternFill patternType="lightDown"/>
              </fill>
              <border>
                <bottom/>
              </border>
            </x14:dxf>
          </x14:cfRule>
          <x14:cfRule type="expression" priority="2287" id="{73C7EA6D-2840-4822-9EBF-0D2ED6D451C1}">
            <xm:f>VLOOKUP(D10,Calendars!$O$1:$U$398,MATCH($X$1,Calendars!$O$1:$U$1,0),FALSE)="Holiday"</xm:f>
            <x14:dxf>
              <fill>
                <patternFill>
                  <bgColor rgb="FFFF99FF"/>
                </patternFill>
              </fill>
              <border>
                <bottom/>
              </border>
            </x14:dxf>
          </x14:cfRule>
          <xm:sqref>D9</xm:sqref>
        </x14:conditionalFormatting>
        <x14:conditionalFormatting xmlns:xm="http://schemas.microsoft.com/office/excel/2006/main">
          <x14:cfRule type="expression" priority="2267" id="{6E85750F-F4DC-447F-A613-440C62867ED2}">
            <xm:f>AND(VLOOKUP(E10,Calendars!$O$1:$U$398,MATCH($X$1,Calendars!$O$1:$U$1,0),FALSE)="Non Contract",$C$5&gt;0)</xm:f>
            <x14:dxf>
              <fill>
                <patternFill patternType="solid">
                  <fgColor theme="4" tint="0.79998168889431442"/>
                  <bgColor theme="8" tint="0.79995117038483843"/>
                </patternFill>
              </fill>
            </x14:dxf>
          </x14:cfRule>
          <xm:sqref>E9:G9</xm:sqref>
        </x14:conditionalFormatting>
        <x14:conditionalFormatting xmlns:xm="http://schemas.microsoft.com/office/excel/2006/main">
          <x14:cfRule type="expression" priority="2277" id="{DA43B7F5-8C8A-4BFC-BE60-67065CD93713}">
            <xm:f>AND(VLOOKUP(E10,Calendars!$O$1:$U$398,MATCH($X$1,Calendars!$O$1:$U$1,0),FALSE)="",E9=0)</xm:f>
            <x14:dxf>
              <fill>
                <patternFill>
                  <bgColor theme="7" tint="0.79998168889431442"/>
                </patternFill>
              </fill>
            </x14:dxf>
          </x14:cfRule>
          <xm:sqref>E9:G9</xm:sqref>
        </x14:conditionalFormatting>
        <x14:conditionalFormatting xmlns:xm="http://schemas.microsoft.com/office/excel/2006/main">
          <x14:cfRule type="expression" priority="2266" id="{D6B88C48-7F01-4522-8C55-E2E82EA956B3}">
            <xm:f>VLOOKUP(E10,Calendars!$O$1:$U$398,MATCH($X$1,Calendars!$O$1:$U$1,0),FALSE)="Non Contract"</xm:f>
            <x14:dxf>
              <fill>
                <patternFill patternType="lightDown"/>
              </fill>
              <border>
                <bottom/>
              </border>
            </x14:dxf>
          </x14:cfRule>
          <x14:cfRule type="expression" priority="2275" id="{BFDBF8B5-9073-47BC-86D7-4BFA4EF4B8CB}">
            <xm:f>VLOOKUP(E10,Calendars!$O$1:$U$398,MATCH($X$1,Calendars!$O$1:$U$1,0),FALSE)="Holiday"</xm:f>
            <x14:dxf>
              <fill>
                <patternFill>
                  <bgColor rgb="FFFF99FF"/>
                </patternFill>
              </fill>
              <border>
                <bottom/>
              </border>
            </x14:dxf>
          </x14:cfRule>
          <xm:sqref>E9:G9</xm:sqref>
        </x14:conditionalFormatting>
        <x14:conditionalFormatting xmlns:xm="http://schemas.microsoft.com/office/excel/2006/main">
          <x14:cfRule type="expression" priority="2255" id="{E5827FDB-7A6C-4794-9C04-5FD6863DF1E1}">
            <xm:f>AND(VLOOKUP(C12,Calendars!$O$1:$U$398,MATCH($X$1,Calendars!$O$1:$U$1,0),FALSE)="Non Contract",$C$5&gt;0)</xm:f>
            <x14:dxf>
              <fill>
                <patternFill patternType="solid">
                  <fgColor theme="4" tint="0.79998168889431442"/>
                  <bgColor theme="8" tint="0.79995117038483843"/>
                </patternFill>
              </fill>
            </x14:dxf>
          </x14:cfRule>
          <xm:sqref>C11</xm:sqref>
        </x14:conditionalFormatting>
        <x14:conditionalFormatting xmlns:xm="http://schemas.microsoft.com/office/excel/2006/main">
          <x14:cfRule type="expression" priority="2265" id="{50722F74-67EE-4B2A-8CE2-FC4569E1AF05}">
            <xm:f>AND(VLOOKUP(C12,Calendars!$O$1:$U$398,MATCH($X$1,Calendars!$O$1:$U$1,0),FALSE)="",C11=0)</xm:f>
            <x14:dxf>
              <fill>
                <patternFill>
                  <bgColor theme="7" tint="0.79998168889431442"/>
                </patternFill>
              </fill>
            </x14:dxf>
          </x14:cfRule>
          <xm:sqref>C11</xm:sqref>
        </x14:conditionalFormatting>
        <x14:conditionalFormatting xmlns:xm="http://schemas.microsoft.com/office/excel/2006/main">
          <x14:cfRule type="expression" priority="2254" id="{4316E9EF-D55F-4F91-964E-1AA518614A09}">
            <xm:f>VLOOKUP(C12,Calendars!$O$1:$U$398,MATCH($X$1,Calendars!$O$1:$U$1,0),FALSE)="Non Contract"</xm:f>
            <x14:dxf>
              <fill>
                <patternFill patternType="lightDown"/>
              </fill>
              <border>
                <bottom/>
              </border>
            </x14:dxf>
          </x14:cfRule>
          <x14:cfRule type="expression" priority="2263" id="{2DB22FE8-4EF7-426A-8C29-A3A9AD043E1B}">
            <xm:f>VLOOKUP(C12,Calendars!$O$1:$U$398,MATCH($X$1,Calendars!$O$1:$U$1,0),FALSE)="Holiday"</xm:f>
            <x14:dxf>
              <fill>
                <patternFill>
                  <bgColor rgb="FFFF99FF"/>
                </patternFill>
              </fill>
              <border>
                <bottom/>
              </border>
            </x14:dxf>
          </x14:cfRule>
          <xm:sqref>C11</xm:sqref>
        </x14:conditionalFormatting>
        <x14:conditionalFormatting xmlns:xm="http://schemas.microsoft.com/office/excel/2006/main">
          <x14:cfRule type="expression" priority="2243" id="{2EC06ACA-611A-4FB8-916F-9E0319AAD6B3}">
            <xm:f>AND(VLOOKUP(D12,Calendars!$O$1:$U$398,MATCH($X$1,Calendars!$O$1:$U$1,0),FALSE)="Non Contract",$C$5&gt;0)</xm:f>
            <x14:dxf>
              <fill>
                <patternFill patternType="solid">
                  <fgColor theme="4" tint="0.79998168889431442"/>
                  <bgColor theme="8" tint="0.79995117038483843"/>
                </patternFill>
              </fill>
            </x14:dxf>
          </x14:cfRule>
          <xm:sqref>D11</xm:sqref>
        </x14:conditionalFormatting>
        <x14:conditionalFormatting xmlns:xm="http://schemas.microsoft.com/office/excel/2006/main">
          <x14:cfRule type="expression" priority="2253" id="{4F854ACD-B7E3-4A96-A8A5-1C2033EC0B17}">
            <xm:f>AND(VLOOKUP(D12,Calendars!$O$1:$U$398,MATCH($X$1,Calendars!$O$1:$U$1,0),FALSE)="",D11=0)</xm:f>
            <x14:dxf>
              <fill>
                <patternFill>
                  <bgColor theme="7" tint="0.79998168889431442"/>
                </patternFill>
              </fill>
            </x14:dxf>
          </x14:cfRule>
          <xm:sqref>D11</xm:sqref>
        </x14:conditionalFormatting>
        <x14:conditionalFormatting xmlns:xm="http://schemas.microsoft.com/office/excel/2006/main">
          <x14:cfRule type="expression" priority="2242" id="{A1AE6F9A-6507-49DA-A691-8DDE0F4316A5}">
            <xm:f>VLOOKUP(D12,Calendars!$O$1:$U$398,MATCH($X$1,Calendars!$O$1:$U$1,0),FALSE)="Non Contract"</xm:f>
            <x14:dxf>
              <fill>
                <patternFill patternType="lightDown"/>
              </fill>
              <border>
                <bottom/>
              </border>
            </x14:dxf>
          </x14:cfRule>
          <x14:cfRule type="expression" priority="2251" id="{EE991776-00BF-45FC-81FA-898A3CDE304E}">
            <xm:f>VLOOKUP(D12,Calendars!$O$1:$U$398,MATCH($X$1,Calendars!$O$1:$U$1,0),FALSE)="Holiday"</xm:f>
            <x14:dxf>
              <fill>
                <patternFill>
                  <bgColor rgb="FFFF99FF"/>
                </patternFill>
              </fill>
              <border>
                <bottom/>
              </border>
            </x14:dxf>
          </x14:cfRule>
          <xm:sqref>D11</xm:sqref>
        </x14:conditionalFormatting>
        <x14:conditionalFormatting xmlns:xm="http://schemas.microsoft.com/office/excel/2006/main">
          <x14:cfRule type="expression" priority="2231" id="{2D6C8A4E-9C89-4AC4-BC80-A2FF7A8C0BB5}">
            <xm:f>AND(VLOOKUP(E12,Calendars!$O$1:$U$398,MATCH($X$1,Calendars!$O$1:$U$1,0),FALSE)="Non Contract",$C$5&gt;0)</xm:f>
            <x14:dxf>
              <fill>
                <patternFill patternType="solid">
                  <fgColor theme="4" tint="0.79998168889431442"/>
                  <bgColor theme="8" tint="0.79995117038483843"/>
                </patternFill>
              </fill>
            </x14:dxf>
          </x14:cfRule>
          <xm:sqref>E11:G11</xm:sqref>
        </x14:conditionalFormatting>
        <x14:conditionalFormatting xmlns:xm="http://schemas.microsoft.com/office/excel/2006/main">
          <x14:cfRule type="expression" priority="2241" id="{7C6108CF-450F-48A7-A43B-DBAD7CA29DE9}">
            <xm:f>AND(VLOOKUP(E12,Calendars!$O$1:$U$398,MATCH($X$1,Calendars!$O$1:$U$1,0),FALSE)="",E11=0)</xm:f>
            <x14:dxf>
              <fill>
                <patternFill>
                  <bgColor theme="7" tint="0.79998168889431442"/>
                </patternFill>
              </fill>
            </x14:dxf>
          </x14:cfRule>
          <xm:sqref>E11:G11</xm:sqref>
        </x14:conditionalFormatting>
        <x14:conditionalFormatting xmlns:xm="http://schemas.microsoft.com/office/excel/2006/main">
          <x14:cfRule type="expression" priority="2230" id="{BADDE3A5-7128-42AC-BA61-ABDFF0EE4C5E}">
            <xm:f>VLOOKUP(E12,Calendars!$O$1:$U$398,MATCH($X$1,Calendars!$O$1:$U$1,0),FALSE)="Non Contract"</xm:f>
            <x14:dxf>
              <fill>
                <patternFill patternType="lightDown"/>
              </fill>
              <border>
                <bottom/>
              </border>
            </x14:dxf>
          </x14:cfRule>
          <x14:cfRule type="expression" priority="2239" id="{1BD9A4D1-E0DE-48EB-8834-93AE018DD015}">
            <xm:f>VLOOKUP(E12,Calendars!$O$1:$U$398,MATCH($X$1,Calendars!$O$1:$U$1,0),FALSE)="Holiday"</xm:f>
            <x14:dxf>
              <fill>
                <patternFill>
                  <bgColor rgb="FFFF99FF"/>
                </patternFill>
              </fill>
              <border>
                <bottom/>
              </border>
            </x14:dxf>
          </x14:cfRule>
          <xm:sqref>E11:G11</xm:sqref>
        </x14:conditionalFormatting>
        <x14:conditionalFormatting xmlns:xm="http://schemas.microsoft.com/office/excel/2006/main">
          <x14:cfRule type="expression" priority="2219" id="{72CC2D30-7A6B-4CDC-8616-56AF6AEF336A}">
            <xm:f>AND(VLOOKUP(C14,Calendars!$O$1:$U$398,MATCH($X$1,Calendars!$O$1:$U$1,0),FALSE)="Non Contract",$C$5&gt;0)</xm:f>
            <x14:dxf>
              <fill>
                <patternFill patternType="solid">
                  <fgColor theme="4" tint="0.79998168889431442"/>
                  <bgColor theme="8" tint="0.79995117038483843"/>
                </patternFill>
              </fill>
            </x14:dxf>
          </x14:cfRule>
          <xm:sqref>C13</xm:sqref>
        </x14:conditionalFormatting>
        <x14:conditionalFormatting xmlns:xm="http://schemas.microsoft.com/office/excel/2006/main">
          <x14:cfRule type="expression" priority="2229" id="{E7DB51FD-086B-4365-A7B8-961D041662F2}">
            <xm:f>AND(VLOOKUP(C14,Calendars!$O$1:$U$398,MATCH($X$1,Calendars!$O$1:$U$1,0),FALSE)="",C13=0)</xm:f>
            <x14:dxf>
              <fill>
                <patternFill>
                  <bgColor theme="7" tint="0.79998168889431442"/>
                </patternFill>
              </fill>
            </x14:dxf>
          </x14:cfRule>
          <xm:sqref>C13</xm:sqref>
        </x14:conditionalFormatting>
        <x14:conditionalFormatting xmlns:xm="http://schemas.microsoft.com/office/excel/2006/main">
          <x14:cfRule type="expression" priority="2218" id="{9C577B05-F91E-4782-B9A6-A3CD4FB7BF6C}">
            <xm:f>VLOOKUP(C14,Calendars!$O$1:$U$398,MATCH($X$1,Calendars!$O$1:$U$1,0),FALSE)="Non Contract"</xm:f>
            <x14:dxf>
              <fill>
                <patternFill patternType="lightDown"/>
              </fill>
              <border>
                <bottom/>
              </border>
            </x14:dxf>
          </x14:cfRule>
          <x14:cfRule type="expression" priority="2227" id="{7460A7F4-431E-4833-B922-A6878D36A571}">
            <xm:f>VLOOKUP(C14,Calendars!$O$1:$U$398,MATCH($X$1,Calendars!$O$1:$U$1,0),FALSE)="Holiday"</xm:f>
            <x14:dxf>
              <fill>
                <patternFill>
                  <bgColor rgb="FFFF99FF"/>
                </patternFill>
              </fill>
              <border>
                <bottom/>
              </border>
            </x14:dxf>
          </x14:cfRule>
          <xm:sqref>C13</xm:sqref>
        </x14:conditionalFormatting>
        <x14:conditionalFormatting xmlns:xm="http://schemas.microsoft.com/office/excel/2006/main">
          <x14:cfRule type="expression" priority="2207" id="{5B9380BE-D8AF-4CA3-ADB5-44C92590C473}">
            <xm:f>AND(VLOOKUP(D14,Calendars!$O$1:$U$398,MATCH($X$1,Calendars!$O$1:$U$1,0),FALSE)="Non Contract",$C$5&gt;0)</xm:f>
            <x14:dxf>
              <fill>
                <patternFill patternType="solid">
                  <fgColor theme="4" tint="0.79998168889431442"/>
                  <bgColor theme="8" tint="0.79995117038483843"/>
                </patternFill>
              </fill>
            </x14:dxf>
          </x14:cfRule>
          <xm:sqref>D13</xm:sqref>
        </x14:conditionalFormatting>
        <x14:conditionalFormatting xmlns:xm="http://schemas.microsoft.com/office/excel/2006/main">
          <x14:cfRule type="expression" priority="2217" id="{64F2BE23-628D-4752-B18F-6DCFD643D468}">
            <xm:f>AND(VLOOKUP(D14,Calendars!$O$1:$U$398,MATCH($X$1,Calendars!$O$1:$U$1,0),FALSE)="",D13=0)</xm:f>
            <x14:dxf>
              <fill>
                <patternFill>
                  <bgColor theme="7" tint="0.79998168889431442"/>
                </patternFill>
              </fill>
            </x14:dxf>
          </x14:cfRule>
          <xm:sqref>D13</xm:sqref>
        </x14:conditionalFormatting>
        <x14:conditionalFormatting xmlns:xm="http://schemas.microsoft.com/office/excel/2006/main">
          <x14:cfRule type="expression" priority="2206" id="{D6ECCF4C-3BE9-4AC1-8208-382AE9CCA7EF}">
            <xm:f>VLOOKUP(D14,Calendars!$O$1:$U$398,MATCH($X$1,Calendars!$O$1:$U$1,0),FALSE)="Non Contract"</xm:f>
            <x14:dxf>
              <fill>
                <patternFill patternType="lightDown"/>
              </fill>
              <border>
                <bottom/>
              </border>
            </x14:dxf>
          </x14:cfRule>
          <x14:cfRule type="expression" priority="2215" id="{CBFE127A-FB0A-4626-80BE-DD2FDA09EE18}">
            <xm:f>VLOOKUP(D14,Calendars!$O$1:$U$398,MATCH($X$1,Calendars!$O$1:$U$1,0),FALSE)="Holiday"</xm:f>
            <x14:dxf>
              <fill>
                <patternFill>
                  <bgColor rgb="FFFF99FF"/>
                </patternFill>
              </fill>
              <border>
                <bottom/>
              </border>
            </x14:dxf>
          </x14:cfRule>
          <xm:sqref>D13</xm:sqref>
        </x14:conditionalFormatting>
        <x14:conditionalFormatting xmlns:xm="http://schemas.microsoft.com/office/excel/2006/main">
          <x14:cfRule type="expression" priority="2195" id="{84E89F5D-C006-43C4-9995-4329FA5A8B83}">
            <xm:f>AND(VLOOKUP(E14,Calendars!$O$1:$U$398,MATCH($X$1,Calendars!$O$1:$U$1,0),FALSE)="Non Contract",$C$5&gt;0)</xm:f>
            <x14:dxf>
              <fill>
                <patternFill patternType="solid">
                  <fgColor theme="4" tint="0.79998168889431442"/>
                  <bgColor theme="8" tint="0.79995117038483843"/>
                </patternFill>
              </fill>
            </x14:dxf>
          </x14:cfRule>
          <xm:sqref>E13:G13</xm:sqref>
        </x14:conditionalFormatting>
        <x14:conditionalFormatting xmlns:xm="http://schemas.microsoft.com/office/excel/2006/main">
          <x14:cfRule type="expression" priority="2205" id="{8BBF560B-E1C6-484E-AF36-19416F9506C8}">
            <xm:f>AND(VLOOKUP(E14,Calendars!$O$1:$U$398,MATCH($X$1,Calendars!$O$1:$U$1,0),FALSE)="",E13=0)</xm:f>
            <x14:dxf>
              <fill>
                <patternFill>
                  <bgColor theme="7" tint="0.79998168889431442"/>
                </patternFill>
              </fill>
            </x14:dxf>
          </x14:cfRule>
          <xm:sqref>E13:G13</xm:sqref>
        </x14:conditionalFormatting>
        <x14:conditionalFormatting xmlns:xm="http://schemas.microsoft.com/office/excel/2006/main">
          <x14:cfRule type="expression" priority="2194" id="{9D98F8F0-1E23-4C5B-9F1C-078301EB9947}">
            <xm:f>VLOOKUP(E14,Calendars!$O$1:$U$398,MATCH($X$1,Calendars!$O$1:$U$1,0),FALSE)="Non Contract"</xm:f>
            <x14:dxf>
              <fill>
                <patternFill patternType="lightDown"/>
              </fill>
              <border>
                <bottom/>
              </border>
            </x14:dxf>
          </x14:cfRule>
          <x14:cfRule type="expression" priority="2203" id="{7BF1D0F9-89D0-4915-BEB7-5C797DD2A082}">
            <xm:f>VLOOKUP(E14,Calendars!$O$1:$U$398,MATCH($X$1,Calendars!$O$1:$U$1,0),FALSE)="Holiday"</xm:f>
            <x14:dxf>
              <fill>
                <patternFill>
                  <bgColor rgb="FFFF99FF"/>
                </patternFill>
              </fill>
              <border>
                <bottom/>
              </border>
            </x14:dxf>
          </x14:cfRule>
          <xm:sqref>E13:G13</xm:sqref>
        </x14:conditionalFormatting>
        <x14:conditionalFormatting xmlns:xm="http://schemas.microsoft.com/office/excel/2006/main">
          <x14:cfRule type="expression" priority="2183" id="{6B9ED955-3A31-4529-8559-D6573DA605C6}">
            <xm:f>AND(VLOOKUP(J6,Calendars!$O$1:$U$398,MATCH($X$1,Calendars!$O$1:$U$1,0),FALSE)="Non Contract",$C$5&gt;0)</xm:f>
            <x14:dxf>
              <fill>
                <patternFill patternType="solid">
                  <fgColor theme="4" tint="0.79998168889431442"/>
                  <bgColor theme="8" tint="0.79995117038483843"/>
                </patternFill>
              </fill>
            </x14:dxf>
          </x14:cfRule>
          <xm:sqref>J5</xm:sqref>
        </x14:conditionalFormatting>
        <x14:conditionalFormatting xmlns:xm="http://schemas.microsoft.com/office/excel/2006/main">
          <x14:cfRule type="expression" priority="2193" id="{56042221-B179-4634-8FA7-293CE6441D78}">
            <xm:f>AND(VLOOKUP(J6,Calendars!$O$1:$U$398,MATCH($X$1,Calendars!$O$1:$U$1,0),FALSE)="",J5=0)</xm:f>
            <x14:dxf>
              <fill>
                <patternFill>
                  <bgColor theme="7" tint="0.79998168889431442"/>
                </patternFill>
              </fill>
            </x14:dxf>
          </x14:cfRule>
          <xm:sqref>J5</xm:sqref>
        </x14:conditionalFormatting>
        <x14:conditionalFormatting xmlns:xm="http://schemas.microsoft.com/office/excel/2006/main">
          <x14:cfRule type="expression" priority="2182" id="{6B6269AE-0B06-4801-802B-B85D46B65F3D}">
            <xm:f>VLOOKUP(J6,Calendars!$O$1:$U$398,MATCH($X$1,Calendars!$O$1:$U$1,0),FALSE)="Non Contract"</xm:f>
            <x14:dxf>
              <fill>
                <patternFill patternType="lightDown"/>
              </fill>
              <border>
                <bottom/>
              </border>
            </x14:dxf>
          </x14:cfRule>
          <x14:cfRule type="expression" priority="2191" id="{B6C12F19-E11C-4D3B-8606-B0530E6AD90E}">
            <xm:f>VLOOKUP(J6,Calendars!$O$1:$U$398,MATCH($X$1,Calendars!$O$1:$U$1,0),FALSE)="Holiday"</xm:f>
            <x14:dxf>
              <fill>
                <patternFill>
                  <bgColor rgb="FFFF99FF"/>
                </patternFill>
              </fill>
              <border>
                <bottom/>
              </border>
            </x14:dxf>
          </x14:cfRule>
          <xm:sqref>J5</xm:sqref>
        </x14:conditionalFormatting>
        <x14:conditionalFormatting xmlns:xm="http://schemas.microsoft.com/office/excel/2006/main">
          <x14:cfRule type="expression" priority="2171" id="{D1D5CF8F-CB35-4DE3-AAA8-E23C3F67945A}">
            <xm:f>AND(VLOOKUP(K6,Calendars!$O$1:$U$398,MATCH($X$1,Calendars!$O$1:$U$1,0),FALSE)="Non Contract",$C$5&gt;0)</xm:f>
            <x14:dxf>
              <fill>
                <patternFill patternType="solid">
                  <fgColor theme="4" tint="0.79998168889431442"/>
                  <bgColor theme="8" tint="0.79995117038483843"/>
                </patternFill>
              </fill>
            </x14:dxf>
          </x14:cfRule>
          <xm:sqref>K5</xm:sqref>
        </x14:conditionalFormatting>
        <x14:conditionalFormatting xmlns:xm="http://schemas.microsoft.com/office/excel/2006/main">
          <x14:cfRule type="expression" priority="2181" id="{F4056E02-868A-4C57-8BD8-99C7BC318A74}">
            <xm:f>AND(VLOOKUP(K6,Calendars!$O$1:$U$398,MATCH($X$1,Calendars!$O$1:$U$1,0),FALSE)="",K5=0)</xm:f>
            <x14:dxf>
              <fill>
                <patternFill>
                  <bgColor theme="7" tint="0.79998168889431442"/>
                </patternFill>
              </fill>
            </x14:dxf>
          </x14:cfRule>
          <xm:sqref>K5</xm:sqref>
        </x14:conditionalFormatting>
        <x14:conditionalFormatting xmlns:xm="http://schemas.microsoft.com/office/excel/2006/main">
          <x14:cfRule type="expression" priority="2170" id="{BF197945-8B9B-4009-9AF1-DF50943ABE17}">
            <xm:f>VLOOKUP(K6,Calendars!$O$1:$U$398,MATCH($X$1,Calendars!$O$1:$U$1,0),FALSE)="Non Contract"</xm:f>
            <x14:dxf>
              <fill>
                <patternFill patternType="lightDown"/>
              </fill>
              <border>
                <bottom/>
              </border>
            </x14:dxf>
          </x14:cfRule>
          <x14:cfRule type="expression" priority="2179" id="{29A58368-B958-40E2-A583-DCB01E236699}">
            <xm:f>VLOOKUP(K6,Calendars!$O$1:$U$398,MATCH($X$1,Calendars!$O$1:$U$1,0),FALSE)="Holiday"</xm:f>
            <x14:dxf>
              <fill>
                <patternFill>
                  <bgColor rgb="FFFF99FF"/>
                </patternFill>
              </fill>
              <border>
                <bottom/>
              </border>
            </x14:dxf>
          </x14:cfRule>
          <xm:sqref>K5</xm:sqref>
        </x14:conditionalFormatting>
        <x14:conditionalFormatting xmlns:xm="http://schemas.microsoft.com/office/excel/2006/main">
          <x14:cfRule type="expression" priority="2159" id="{56807E3A-310F-4F8E-8B1A-050E0A7905FA}">
            <xm:f>AND(VLOOKUP(L6,Calendars!$O$1:$U$398,MATCH($X$1,Calendars!$O$1:$U$1,0),FALSE)="Non Contract",$C$5&gt;0)</xm:f>
            <x14:dxf>
              <fill>
                <patternFill patternType="solid">
                  <fgColor theme="4" tint="0.79998168889431442"/>
                  <bgColor theme="8" tint="0.79995117038483843"/>
                </patternFill>
              </fill>
            </x14:dxf>
          </x14:cfRule>
          <xm:sqref>L5:N5</xm:sqref>
        </x14:conditionalFormatting>
        <x14:conditionalFormatting xmlns:xm="http://schemas.microsoft.com/office/excel/2006/main">
          <x14:cfRule type="expression" priority="2169" id="{459536A5-2345-4A45-8A69-F42097877EBE}">
            <xm:f>AND(VLOOKUP(L6,Calendars!$O$1:$U$398,MATCH($X$1,Calendars!$O$1:$U$1,0),FALSE)="",L5=0)</xm:f>
            <x14:dxf>
              <fill>
                <patternFill>
                  <bgColor theme="7" tint="0.79998168889431442"/>
                </patternFill>
              </fill>
            </x14:dxf>
          </x14:cfRule>
          <xm:sqref>L5:N5</xm:sqref>
        </x14:conditionalFormatting>
        <x14:conditionalFormatting xmlns:xm="http://schemas.microsoft.com/office/excel/2006/main">
          <x14:cfRule type="expression" priority="2158" id="{16469030-F42B-4B81-A3E6-DF8FB42F3FFB}">
            <xm:f>VLOOKUP(L6,Calendars!$O$1:$U$398,MATCH($X$1,Calendars!$O$1:$U$1,0),FALSE)="Non Contract"</xm:f>
            <x14:dxf>
              <fill>
                <patternFill patternType="lightDown"/>
              </fill>
              <border>
                <bottom/>
              </border>
            </x14:dxf>
          </x14:cfRule>
          <x14:cfRule type="expression" priority="2167" id="{AFEBAED6-C6C4-4B7F-A7D8-40FF199C1464}">
            <xm:f>VLOOKUP(L6,Calendars!$O$1:$U$398,MATCH($X$1,Calendars!$O$1:$U$1,0),FALSE)="Holiday"</xm:f>
            <x14:dxf>
              <fill>
                <patternFill>
                  <bgColor rgb="FFFF99FF"/>
                </patternFill>
              </fill>
              <border>
                <bottom/>
              </border>
            </x14:dxf>
          </x14:cfRule>
          <xm:sqref>L5:N5</xm:sqref>
        </x14:conditionalFormatting>
        <x14:conditionalFormatting xmlns:xm="http://schemas.microsoft.com/office/excel/2006/main">
          <x14:cfRule type="expression" priority="2147" id="{2713C157-6CFB-48DA-BFD8-B3DD193F4DF3}">
            <xm:f>AND(VLOOKUP(J8,Calendars!$O$1:$U$398,MATCH($X$1,Calendars!$O$1:$U$1,0),FALSE)="Non Contract",$C$5&gt;0)</xm:f>
            <x14:dxf>
              <fill>
                <patternFill patternType="solid">
                  <fgColor theme="4" tint="0.79998168889431442"/>
                  <bgColor theme="8" tint="0.79995117038483843"/>
                </patternFill>
              </fill>
            </x14:dxf>
          </x14:cfRule>
          <xm:sqref>J7</xm:sqref>
        </x14:conditionalFormatting>
        <x14:conditionalFormatting xmlns:xm="http://schemas.microsoft.com/office/excel/2006/main">
          <x14:cfRule type="expression" priority="2157" id="{3EF7E2F5-30D4-407E-BB07-CDCB584339E7}">
            <xm:f>AND(VLOOKUP(J8,Calendars!$O$1:$U$398,MATCH($X$1,Calendars!$O$1:$U$1,0),FALSE)="",J7=0)</xm:f>
            <x14:dxf>
              <fill>
                <patternFill>
                  <bgColor theme="7" tint="0.79998168889431442"/>
                </patternFill>
              </fill>
            </x14:dxf>
          </x14:cfRule>
          <xm:sqref>J7</xm:sqref>
        </x14:conditionalFormatting>
        <x14:conditionalFormatting xmlns:xm="http://schemas.microsoft.com/office/excel/2006/main">
          <x14:cfRule type="expression" priority="2146" id="{A8915866-FEAC-4C61-A8A0-F0D17CB553B1}">
            <xm:f>VLOOKUP(J8,Calendars!$O$1:$U$398,MATCH($X$1,Calendars!$O$1:$U$1,0),FALSE)="Non Contract"</xm:f>
            <x14:dxf>
              <fill>
                <patternFill patternType="lightDown"/>
              </fill>
              <border>
                <bottom/>
              </border>
            </x14:dxf>
          </x14:cfRule>
          <x14:cfRule type="expression" priority="2155" id="{2FF311A5-7990-42E7-8BD6-EA2D45A4F0FD}">
            <xm:f>VLOOKUP(J8,Calendars!$O$1:$U$398,MATCH($X$1,Calendars!$O$1:$U$1,0),FALSE)="Holiday"</xm:f>
            <x14:dxf>
              <fill>
                <patternFill>
                  <bgColor rgb="FFFF99FF"/>
                </patternFill>
              </fill>
              <border>
                <bottom/>
              </border>
            </x14:dxf>
          </x14:cfRule>
          <xm:sqref>J7</xm:sqref>
        </x14:conditionalFormatting>
        <x14:conditionalFormatting xmlns:xm="http://schemas.microsoft.com/office/excel/2006/main">
          <x14:cfRule type="expression" priority="2135" id="{0AC4E125-CCD2-4F44-8F20-EBCCB1271294}">
            <xm:f>AND(VLOOKUP(K8,Calendars!$O$1:$U$398,MATCH($X$1,Calendars!$O$1:$U$1,0),FALSE)="Non Contract",$C$5&gt;0)</xm:f>
            <x14:dxf>
              <fill>
                <patternFill patternType="solid">
                  <fgColor theme="4" tint="0.79998168889431442"/>
                  <bgColor theme="8" tint="0.79995117038483843"/>
                </patternFill>
              </fill>
            </x14:dxf>
          </x14:cfRule>
          <xm:sqref>K7</xm:sqref>
        </x14:conditionalFormatting>
        <x14:conditionalFormatting xmlns:xm="http://schemas.microsoft.com/office/excel/2006/main">
          <x14:cfRule type="expression" priority="2145" id="{B6D11F61-B76B-4289-B1E0-A50CF4F8604B}">
            <xm:f>AND(VLOOKUP(K8,Calendars!$O$1:$U$398,MATCH($X$1,Calendars!$O$1:$U$1,0),FALSE)="",K7=0)</xm:f>
            <x14:dxf>
              <fill>
                <patternFill>
                  <bgColor theme="7" tint="0.79998168889431442"/>
                </patternFill>
              </fill>
            </x14:dxf>
          </x14:cfRule>
          <xm:sqref>K7</xm:sqref>
        </x14:conditionalFormatting>
        <x14:conditionalFormatting xmlns:xm="http://schemas.microsoft.com/office/excel/2006/main">
          <x14:cfRule type="expression" priority="2134" id="{8AE25B34-28B3-4930-BA33-1363B007AA3A}">
            <xm:f>VLOOKUP(K8,Calendars!$O$1:$U$398,MATCH($X$1,Calendars!$O$1:$U$1,0),FALSE)="Non Contract"</xm:f>
            <x14:dxf>
              <fill>
                <patternFill patternType="lightDown"/>
              </fill>
              <border>
                <bottom/>
              </border>
            </x14:dxf>
          </x14:cfRule>
          <x14:cfRule type="expression" priority="2143" id="{156415D6-9AE9-4EDA-AB20-D132F6DD173D}">
            <xm:f>VLOOKUP(K8,Calendars!$O$1:$U$398,MATCH($X$1,Calendars!$O$1:$U$1,0),FALSE)="Holiday"</xm:f>
            <x14:dxf>
              <fill>
                <patternFill>
                  <bgColor rgb="FFFF99FF"/>
                </patternFill>
              </fill>
              <border>
                <bottom/>
              </border>
            </x14:dxf>
          </x14:cfRule>
          <xm:sqref>K7</xm:sqref>
        </x14:conditionalFormatting>
        <x14:conditionalFormatting xmlns:xm="http://schemas.microsoft.com/office/excel/2006/main">
          <x14:cfRule type="expression" priority="2123" id="{3C2ECF5C-EBC6-466B-9A7A-E83E5F0B73A2}">
            <xm:f>AND(VLOOKUP(L8,Calendars!$O$1:$U$398,MATCH($X$1,Calendars!$O$1:$U$1,0),FALSE)="Non Contract",$C$5&gt;0)</xm:f>
            <x14:dxf>
              <fill>
                <patternFill patternType="solid">
                  <fgColor theme="4" tint="0.79998168889431442"/>
                  <bgColor theme="8" tint="0.79995117038483843"/>
                </patternFill>
              </fill>
            </x14:dxf>
          </x14:cfRule>
          <xm:sqref>L7:N7</xm:sqref>
        </x14:conditionalFormatting>
        <x14:conditionalFormatting xmlns:xm="http://schemas.microsoft.com/office/excel/2006/main">
          <x14:cfRule type="expression" priority="2133" id="{3EF038C4-3671-4248-9A8A-18DE7A0DA142}">
            <xm:f>AND(VLOOKUP(L8,Calendars!$O$1:$U$398,MATCH($X$1,Calendars!$O$1:$U$1,0),FALSE)="",L7=0)</xm:f>
            <x14:dxf>
              <fill>
                <patternFill>
                  <bgColor theme="7" tint="0.79998168889431442"/>
                </patternFill>
              </fill>
            </x14:dxf>
          </x14:cfRule>
          <xm:sqref>L7:N7</xm:sqref>
        </x14:conditionalFormatting>
        <x14:conditionalFormatting xmlns:xm="http://schemas.microsoft.com/office/excel/2006/main">
          <x14:cfRule type="expression" priority="2122" id="{48DAA1DD-DF02-4AC9-86AE-42CDF673141D}">
            <xm:f>VLOOKUP(L8,Calendars!$O$1:$U$398,MATCH($X$1,Calendars!$O$1:$U$1,0),FALSE)="Non Contract"</xm:f>
            <x14:dxf>
              <fill>
                <patternFill patternType="lightDown"/>
              </fill>
              <border>
                <bottom/>
              </border>
            </x14:dxf>
          </x14:cfRule>
          <x14:cfRule type="expression" priority="2131" id="{7A240018-BD24-4BDC-870D-D855366B87C2}">
            <xm:f>VLOOKUP(L8,Calendars!$O$1:$U$398,MATCH($X$1,Calendars!$O$1:$U$1,0),FALSE)="Holiday"</xm:f>
            <x14:dxf>
              <fill>
                <patternFill>
                  <bgColor rgb="FFFF99FF"/>
                </patternFill>
              </fill>
              <border>
                <bottom/>
              </border>
            </x14:dxf>
          </x14:cfRule>
          <xm:sqref>L7:N7</xm:sqref>
        </x14:conditionalFormatting>
        <x14:conditionalFormatting xmlns:xm="http://schemas.microsoft.com/office/excel/2006/main">
          <x14:cfRule type="expression" priority="2111" id="{EEE607D1-4013-4F20-AAB6-A378D2EBCC3F}">
            <xm:f>AND(VLOOKUP(J10,Calendars!$O$1:$U$398,MATCH($X$1,Calendars!$O$1:$U$1,0),FALSE)="Non Contract",$C$5&gt;0)</xm:f>
            <x14:dxf>
              <fill>
                <patternFill patternType="solid">
                  <fgColor theme="4" tint="0.79998168889431442"/>
                  <bgColor theme="8" tint="0.79995117038483843"/>
                </patternFill>
              </fill>
            </x14:dxf>
          </x14:cfRule>
          <xm:sqref>J9</xm:sqref>
        </x14:conditionalFormatting>
        <x14:conditionalFormatting xmlns:xm="http://schemas.microsoft.com/office/excel/2006/main">
          <x14:cfRule type="expression" priority="2121" id="{0171C563-B213-4D26-A898-33BDED8CAE6E}">
            <xm:f>AND(VLOOKUP(J10,Calendars!$O$1:$U$398,MATCH($X$1,Calendars!$O$1:$U$1,0),FALSE)="",J9=0)</xm:f>
            <x14:dxf>
              <fill>
                <patternFill>
                  <bgColor theme="7" tint="0.79998168889431442"/>
                </patternFill>
              </fill>
            </x14:dxf>
          </x14:cfRule>
          <xm:sqref>J9</xm:sqref>
        </x14:conditionalFormatting>
        <x14:conditionalFormatting xmlns:xm="http://schemas.microsoft.com/office/excel/2006/main">
          <x14:cfRule type="expression" priority="2110" id="{2F2427B7-E6EB-4D57-BB28-6DCD227E50FE}">
            <xm:f>VLOOKUP(J10,Calendars!$O$1:$U$398,MATCH($X$1,Calendars!$O$1:$U$1,0),FALSE)="Non Contract"</xm:f>
            <x14:dxf>
              <fill>
                <patternFill patternType="lightDown"/>
              </fill>
              <border>
                <bottom/>
              </border>
            </x14:dxf>
          </x14:cfRule>
          <x14:cfRule type="expression" priority="2119" id="{91A9BDC4-36EC-42FC-87B1-BF1C03A786AD}">
            <xm:f>VLOOKUP(J10,Calendars!$O$1:$U$398,MATCH($X$1,Calendars!$O$1:$U$1,0),FALSE)="Holiday"</xm:f>
            <x14:dxf>
              <fill>
                <patternFill>
                  <bgColor rgb="FFFF99FF"/>
                </patternFill>
              </fill>
              <border>
                <bottom/>
              </border>
            </x14:dxf>
          </x14:cfRule>
          <xm:sqref>J9</xm:sqref>
        </x14:conditionalFormatting>
        <x14:conditionalFormatting xmlns:xm="http://schemas.microsoft.com/office/excel/2006/main">
          <x14:cfRule type="expression" priority="2099" id="{F58000C5-F4A2-47FB-84C4-65AED4BCEECB}">
            <xm:f>AND(VLOOKUP(K10,Calendars!$O$1:$U$398,MATCH($X$1,Calendars!$O$1:$U$1,0),FALSE)="Non Contract",$C$5&gt;0)</xm:f>
            <x14:dxf>
              <fill>
                <patternFill patternType="solid">
                  <fgColor theme="4" tint="0.79998168889431442"/>
                  <bgColor theme="8" tint="0.79995117038483843"/>
                </patternFill>
              </fill>
            </x14:dxf>
          </x14:cfRule>
          <xm:sqref>K9</xm:sqref>
        </x14:conditionalFormatting>
        <x14:conditionalFormatting xmlns:xm="http://schemas.microsoft.com/office/excel/2006/main">
          <x14:cfRule type="expression" priority="2109" id="{ABEF30D2-E1E2-4CF9-B0BF-0D5794503AC9}">
            <xm:f>AND(VLOOKUP(K10,Calendars!$O$1:$U$398,MATCH($X$1,Calendars!$O$1:$U$1,0),FALSE)="",K9=0)</xm:f>
            <x14:dxf>
              <fill>
                <patternFill>
                  <bgColor theme="7" tint="0.79998168889431442"/>
                </patternFill>
              </fill>
            </x14:dxf>
          </x14:cfRule>
          <xm:sqref>K9</xm:sqref>
        </x14:conditionalFormatting>
        <x14:conditionalFormatting xmlns:xm="http://schemas.microsoft.com/office/excel/2006/main">
          <x14:cfRule type="expression" priority="2098" id="{1B51ED42-47D0-47D0-BF73-6B3893448F08}">
            <xm:f>VLOOKUP(K10,Calendars!$O$1:$U$398,MATCH($X$1,Calendars!$O$1:$U$1,0),FALSE)="Non Contract"</xm:f>
            <x14:dxf>
              <fill>
                <patternFill patternType="lightDown"/>
              </fill>
              <border>
                <bottom/>
              </border>
            </x14:dxf>
          </x14:cfRule>
          <x14:cfRule type="expression" priority="2107" id="{D6C085AA-8369-4A28-A1E4-ACDCCFC7398C}">
            <xm:f>VLOOKUP(K10,Calendars!$O$1:$U$398,MATCH($X$1,Calendars!$O$1:$U$1,0),FALSE)="Holiday"</xm:f>
            <x14:dxf>
              <fill>
                <patternFill>
                  <bgColor rgb="FFFF99FF"/>
                </patternFill>
              </fill>
              <border>
                <bottom/>
              </border>
            </x14:dxf>
          </x14:cfRule>
          <xm:sqref>K9</xm:sqref>
        </x14:conditionalFormatting>
        <x14:conditionalFormatting xmlns:xm="http://schemas.microsoft.com/office/excel/2006/main">
          <x14:cfRule type="expression" priority="2087" id="{C94E8B6B-9417-4BBF-9467-5918898A8995}">
            <xm:f>AND(VLOOKUP(L10,Calendars!$O$1:$U$398,MATCH($X$1,Calendars!$O$1:$U$1,0),FALSE)="Non Contract",$C$5&gt;0)</xm:f>
            <x14:dxf>
              <fill>
                <patternFill patternType="solid">
                  <fgColor theme="4" tint="0.79998168889431442"/>
                  <bgColor theme="8" tint="0.79995117038483843"/>
                </patternFill>
              </fill>
            </x14:dxf>
          </x14:cfRule>
          <xm:sqref>L9:N9</xm:sqref>
        </x14:conditionalFormatting>
        <x14:conditionalFormatting xmlns:xm="http://schemas.microsoft.com/office/excel/2006/main">
          <x14:cfRule type="expression" priority="2097" id="{FABC4E0F-2D15-4790-8C1B-575A3A4E45AD}">
            <xm:f>AND(VLOOKUP(L10,Calendars!$O$1:$U$398,MATCH($X$1,Calendars!$O$1:$U$1,0),FALSE)="",L9=0)</xm:f>
            <x14:dxf>
              <fill>
                <patternFill>
                  <bgColor theme="7" tint="0.79998168889431442"/>
                </patternFill>
              </fill>
            </x14:dxf>
          </x14:cfRule>
          <xm:sqref>L9:N9</xm:sqref>
        </x14:conditionalFormatting>
        <x14:conditionalFormatting xmlns:xm="http://schemas.microsoft.com/office/excel/2006/main">
          <x14:cfRule type="expression" priority="2086" id="{9C3D7749-FD01-4951-AB0F-580AA378FF41}">
            <xm:f>VLOOKUP(L10,Calendars!$O$1:$U$398,MATCH($X$1,Calendars!$O$1:$U$1,0),FALSE)="Non Contract"</xm:f>
            <x14:dxf>
              <fill>
                <patternFill patternType="lightDown"/>
              </fill>
              <border>
                <bottom/>
              </border>
            </x14:dxf>
          </x14:cfRule>
          <x14:cfRule type="expression" priority="2095" id="{AB88498E-88D8-4329-BFBF-3E68C16B805B}">
            <xm:f>VLOOKUP(L10,Calendars!$O$1:$U$398,MATCH($X$1,Calendars!$O$1:$U$1,0),FALSE)="Holiday"</xm:f>
            <x14:dxf>
              <fill>
                <patternFill>
                  <bgColor rgb="FFFF99FF"/>
                </patternFill>
              </fill>
              <border>
                <bottom/>
              </border>
            </x14:dxf>
          </x14:cfRule>
          <xm:sqref>L9:N9</xm:sqref>
        </x14:conditionalFormatting>
        <x14:conditionalFormatting xmlns:xm="http://schemas.microsoft.com/office/excel/2006/main">
          <x14:cfRule type="expression" priority="2075" id="{99910EDE-5C1E-4AAC-8FB0-452F07DD232D}">
            <xm:f>AND(VLOOKUP(J12,Calendars!$O$1:$U$398,MATCH($X$1,Calendars!$O$1:$U$1,0),FALSE)="Non Contract",$C$5&gt;0)</xm:f>
            <x14:dxf>
              <fill>
                <patternFill patternType="solid">
                  <fgColor theme="4" tint="0.79998168889431442"/>
                  <bgColor theme="8" tint="0.79995117038483843"/>
                </patternFill>
              </fill>
            </x14:dxf>
          </x14:cfRule>
          <xm:sqref>J11</xm:sqref>
        </x14:conditionalFormatting>
        <x14:conditionalFormatting xmlns:xm="http://schemas.microsoft.com/office/excel/2006/main">
          <x14:cfRule type="expression" priority="2085" id="{4D18EDAB-AB54-4DF7-B74E-9CE329E02A57}">
            <xm:f>AND(VLOOKUP(J12,Calendars!$O$1:$U$398,MATCH($X$1,Calendars!$O$1:$U$1,0),FALSE)="",J11=0)</xm:f>
            <x14:dxf>
              <fill>
                <patternFill>
                  <bgColor theme="7" tint="0.79998168889431442"/>
                </patternFill>
              </fill>
            </x14:dxf>
          </x14:cfRule>
          <xm:sqref>J11</xm:sqref>
        </x14:conditionalFormatting>
        <x14:conditionalFormatting xmlns:xm="http://schemas.microsoft.com/office/excel/2006/main">
          <x14:cfRule type="expression" priority="2074" id="{75E86B97-DEB5-493D-9D90-4EB5ED1DCA71}">
            <xm:f>VLOOKUP(J12,Calendars!$O$1:$U$398,MATCH($X$1,Calendars!$O$1:$U$1,0),FALSE)="Non Contract"</xm:f>
            <x14:dxf>
              <fill>
                <patternFill patternType="lightDown"/>
              </fill>
              <border>
                <bottom/>
              </border>
            </x14:dxf>
          </x14:cfRule>
          <x14:cfRule type="expression" priority="2083" id="{D3129BB4-F2FD-405C-81BB-66CF345492B5}">
            <xm:f>VLOOKUP(J12,Calendars!$O$1:$U$398,MATCH($X$1,Calendars!$O$1:$U$1,0),FALSE)="Holiday"</xm:f>
            <x14:dxf>
              <fill>
                <patternFill>
                  <bgColor rgb="FFFF99FF"/>
                </patternFill>
              </fill>
              <border>
                <bottom/>
              </border>
            </x14:dxf>
          </x14:cfRule>
          <xm:sqref>J11</xm:sqref>
        </x14:conditionalFormatting>
        <x14:conditionalFormatting xmlns:xm="http://schemas.microsoft.com/office/excel/2006/main">
          <x14:cfRule type="expression" priority="2063" id="{40F0CF0A-2534-4E4B-BE2F-6F17286D0932}">
            <xm:f>AND(VLOOKUP(K12,Calendars!$O$1:$U$398,MATCH($X$1,Calendars!$O$1:$U$1,0),FALSE)="Non Contract",$C$5&gt;0)</xm:f>
            <x14:dxf>
              <fill>
                <patternFill patternType="solid">
                  <fgColor theme="4" tint="0.79998168889431442"/>
                  <bgColor theme="8" tint="0.79995117038483843"/>
                </patternFill>
              </fill>
            </x14:dxf>
          </x14:cfRule>
          <xm:sqref>K11</xm:sqref>
        </x14:conditionalFormatting>
        <x14:conditionalFormatting xmlns:xm="http://schemas.microsoft.com/office/excel/2006/main">
          <x14:cfRule type="expression" priority="2073" id="{43E7F2A5-BFE0-46BE-9A92-4400B03F0CFC}">
            <xm:f>AND(VLOOKUP(K12,Calendars!$O$1:$U$398,MATCH($X$1,Calendars!$O$1:$U$1,0),FALSE)="",K11=0)</xm:f>
            <x14:dxf>
              <fill>
                <patternFill>
                  <bgColor theme="7" tint="0.79998168889431442"/>
                </patternFill>
              </fill>
            </x14:dxf>
          </x14:cfRule>
          <xm:sqref>K11</xm:sqref>
        </x14:conditionalFormatting>
        <x14:conditionalFormatting xmlns:xm="http://schemas.microsoft.com/office/excel/2006/main">
          <x14:cfRule type="expression" priority="2062" id="{BD054B26-F2C8-4AA4-9F0E-A270EA524849}">
            <xm:f>VLOOKUP(K12,Calendars!$O$1:$U$398,MATCH($X$1,Calendars!$O$1:$U$1,0),FALSE)="Non Contract"</xm:f>
            <x14:dxf>
              <fill>
                <patternFill patternType="lightDown"/>
              </fill>
              <border>
                <bottom/>
              </border>
            </x14:dxf>
          </x14:cfRule>
          <x14:cfRule type="expression" priority="2071" id="{E9FFE27C-8B08-424B-AC60-5EB971E485DD}">
            <xm:f>VLOOKUP(K12,Calendars!$O$1:$U$398,MATCH($X$1,Calendars!$O$1:$U$1,0),FALSE)="Holiday"</xm:f>
            <x14:dxf>
              <fill>
                <patternFill>
                  <bgColor rgb="FFFF99FF"/>
                </patternFill>
              </fill>
              <border>
                <bottom/>
              </border>
            </x14:dxf>
          </x14:cfRule>
          <xm:sqref>K11</xm:sqref>
        </x14:conditionalFormatting>
        <x14:conditionalFormatting xmlns:xm="http://schemas.microsoft.com/office/excel/2006/main">
          <x14:cfRule type="expression" priority="2051" id="{FEA2F6E1-7B84-473B-BED9-1252F07A1027}">
            <xm:f>AND(VLOOKUP(L12,Calendars!$O$1:$U$398,MATCH($X$1,Calendars!$O$1:$U$1,0),FALSE)="Non Contract",$C$5&gt;0)</xm:f>
            <x14:dxf>
              <fill>
                <patternFill patternType="solid">
                  <fgColor theme="4" tint="0.79998168889431442"/>
                  <bgColor theme="8" tint="0.79995117038483843"/>
                </patternFill>
              </fill>
            </x14:dxf>
          </x14:cfRule>
          <xm:sqref>L11:N11</xm:sqref>
        </x14:conditionalFormatting>
        <x14:conditionalFormatting xmlns:xm="http://schemas.microsoft.com/office/excel/2006/main">
          <x14:cfRule type="expression" priority="2061" id="{C94BA6BA-050A-41FC-B96F-BFF76317AF66}">
            <xm:f>AND(VLOOKUP(L12,Calendars!$O$1:$U$398,MATCH($X$1,Calendars!$O$1:$U$1,0),FALSE)="",L11=0)</xm:f>
            <x14:dxf>
              <fill>
                <patternFill>
                  <bgColor theme="7" tint="0.79998168889431442"/>
                </patternFill>
              </fill>
            </x14:dxf>
          </x14:cfRule>
          <xm:sqref>L11:N11</xm:sqref>
        </x14:conditionalFormatting>
        <x14:conditionalFormatting xmlns:xm="http://schemas.microsoft.com/office/excel/2006/main">
          <x14:cfRule type="expression" priority="2050" id="{2D78C581-66A2-4F8B-895E-68685A150AD6}">
            <xm:f>VLOOKUP(L12,Calendars!$O$1:$U$398,MATCH($X$1,Calendars!$O$1:$U$1,0),FALSE)="Non Contract"</xm:f>
            <x14:dxf>
              <fill>
                <patternFill patternType="lightDown"/>
              </fill>
              <border>
                <bottom/>
              </border>
            </x14:dxf>
          </x14:cfRule>
          <x14:cfRule type="expression" priority="2059" id="{9107C1C4-5998-41A0-8D6F-EE0DC966F201}">
            <xm:f>VLOOKUP(L12,Calendars!$O$1:$U$398,MATCH($X$1,Calendars!$O$1:$U$1,0),FALSE)="Holiday"</xm:f>
            <x14:dxf>
              <fill>
                <patternFill>
                  <bgColor rgb="FFFF99FF"/>
                </patternFill>
              </fill>
              <border>
                <bottom/>
              </border>
            </x14:dxf>
          </x14:cfRule>
          <xm:sqref>L11:N11</xm:sqref>
        </x14:conditionalFormatting>
        <x14:conditionalFormatting xmlns:xm="http://schemas.microsoft.com/office/excel/2006/main">
          <x14:cfRule type="expression" priority="2039" id="{5FBA8023-910B-45AB-939E-9F107BFA7DB1}">
            <xm:f>AND(VLOOKUP(J14,Calendars!$O$1:$U$398,MATCH($X$1,Calendars!$O$1:$U$1,0),FALSE)="Non Contract",$C$5&gt;0)</xm:f>
            <x14:dxf>
              <fill>
                <patternFill patternType="solid">
                  <fgColor theme="4" tint="0.79998168889431442"/>
                  <bgColor theme="8" tint="0.79995117038483843"/>
                </patternFill>
              </fill>
            </x14:dxf>
          </x14:cfRule>
          <xm:sqref>J13</xm:sqref>
        </x14:conditionalFormatting>
        <x14:conditionalFormatting xmlns:xm="http://schemas.microsoft.com/office/excel/2006/main">
          <x14:cfRule type="expression" priority="2049" id="{053D51A7-8ED8-4E98-AD21-AD3395DE9A0D}">
            <xm:f>AND(VLOOKUP(J14,Calendars!$O$1:$U$398,MATCH($X$1,Calendars!$O$1:$U$1,0),FALSE)="",J13=0)</xm:f>
            <x14:dxf>
              <fill>
                <patternFill>
                  <bgColor theme="7" tint="0.79998168889431442"/>
                </patternFill>
              </fill>
            </x14:dxf>
          </x14:cfRule>
          <xm:sqref>J13</xm:sqref>
        </x14:conditionalFormatting>
        <x14:conditionalFormatting xmlns:xm="http://schemas.microsoft.com/office/excel/2006/main">
          <x14:cfRule type="expression" priority="2038" id="{65E1950D-6152-4A92-89A9-6B97CB5D2BD1}">
            <xm:f>VLOOKUP(J14,Calendars!$O$1:$U$398,MATCH($X$1,Calendars!$O$1:$U$1,0),FALSE)="Non Contract"</xm:f>
            <x14:dxf>
              <fill>
                <patternFill patternType="lightDown"/>
              </fill>
              <border>
                <bottom/>
              </border>
            </x14:dxf>
          </x14:cfRule>
          <x14:cfRule type="expression" priority="2047" id="{07D69112-E58C-40A2-9668-9412ABE29734}">
            <xm:f>VLOOKUP(J14,Calendars!$O$1:$U$398,MATCH($X$1,Calendars!$O$1:$U$1,0),FALSE)="Holiday"</xm:f>
            <x14:dxf>
              <fill>
                <patternFill>
                  <bgColor rgb="FFFF99FF"/>
                </patternFill>
              </fill>
              <border>
                <bottom/>
              </border>
            </x14:dxf>
          </x14:cfRule>
          <xm:sqref>J13</xm:sqref>
        </x14:conditionalFormatting>
        <x14:conditionalFormatting xmlns:xm="http://schemas.microsoft.com/office/excel/2006/main">
          <x14:cfRule type="expression" priority="2027" id="{6D777331-4C75-4134-842D-36C25B60BCD2}">
            <xm:f>AND(VLOOKUP(K14,Calendars!$O$1:$U$398,MATCH($X$1,Calendars!$O$1:$U$1,0),FALSE)="Non Contract",$C$5&gt;0)</xm:f>
            <x14:dxf>
              <fill>
                <patternFill patternType="solid">
                  <fgColor theme="4" tint="0.79998168889431442"/>
                  <bgColor theme="8" tint="0.79995117038483843"/>
                </patternFill>
              </fill>
            </x14:dxf>
          </x14:cfRule>
          <xm:sqref>K13</xm:sqref>
        </x14:conditionalFormatting>
        <x14:conditionalFormatting xmlns:xm="http://schemas.microsoft.com/office/excel/2006/main">
          <x14:cfRule type="expression" priority="2037" id="{08747F6F-34B5-4331-BABD-34764EED3961}">
            <xm:f>AND(VLOOKUP(K14,Calendars!$O$1:$U$398,MATCH($X$1,Calendars!$O$1:$U$1,0),FALSE)="",K13=0)</xm:f>
            <x14:dxf>
              <fill>
                <patternFill>
                  <bgColor theme="7" tint="0.79998168889431442"/>
                </patternFill>
              </fill>
            </x14:dxf>
          </x14:cfRule>
          <xm:sqref>K13</xm:sqref>
        </x14:conditionalFormatting>
        <x14:conditionalFormatting xmlns:xm="http://schemas.microsoft.com/office/excel/2006/main">
          <x14:cfRule type="expression" priority="2026" id="{70F1F8FA-0D6B-4C9E-B806-EBB8757277B4}">
            <xm:f>VLOOKUP(K14,Calendars!$O$1:$U$398,MATCH($X$1,Calendars!$O$1:$U$1,0),FALSE)="Non Contract"</xm:f>
            <x14:dxf>
              <fill>
                <patternFill patternType="lightDown"/>
              </fill>
              <border>
                <bottom/>
              </border>
            </x14:dxf>
          </x14:cfRule>
          <x14:cfRule type="expression" priority="2035" id="{C3259098-0DB9-4FB4-8406-99CF3FE089E1}">
            <xm:f>VLOOKUP(K14,Calendars!$O$1:$U$398,MATCH($X$1,Calendars!$O$1:$U$1,0),FALSE)="Holiday"</xm:f>
            <x14:dxf>
              <fill>
                <patternFill>
                  <bgColor rgb="FFFF99FF"/>
                </patternFill>
              </fill>
              <border>
                <bottom/>
              </border>
            </x14:dxf>
          </x14:cfRule>
          <xm:sqref>K13</xm:sqref>
        </x14:conditionalFormatting>
        <x14:conditionalFormatting xmlns:xm="http://schemas.microsoft.com/office/excel/2006/main">
          <x14:cfRule type="expression" priority="2015" id="{ACE722AA-2F3E-46F2-B98D-6821C8E7D28B}">
            <xm:f>AND(VLOOKUP(L14,Calendars!$O$1:$U$398,MATCH($X$1,Calendars!$O$1:$U$1,0),FALSE)="Non Contract",$C$5&gt;0)</xm:f>
            <x14:dxf>
              <fill>
                <patternFill patternType="solid">
                  <fgColor theme="4" tint="0.79998168889431442"/>
                  <bgColor theme="8" tint="0.79995117038483843"/>
                </patternFill>
              </fill>
            </x14:dxf>
          </x14:cfRule>
          <xm:sqref>L13:N13</xm:sqref>
        </x14:conditionalFormatting>
        <x14:conditionalFormatting xmlns:xm="http://schemas.microsoft.com/office/excel/2006/main">
          <x14:cfRule type="expression" priority="2025" id="{060B086B-5040-4736-ACAD-BF3BC39F46B3}">
            <xm:f>AND(VLOOKUP(L14,Calendars!$O$1:$U$398,MATCH($X$1,Calendars!$O$1:$U$1,0),FALSE)="",L13=0)</xm:f>
            <x14:dxf>
              <fill>
                <patternFill>
                  <bgColor theme="7" tint="0.79998168889431442"/>
                </patternFill>
              </fill>
            </x14:dxf>
          </x14:cfRule>
          <xm:sqref>L13:N13</xm:sqref>
        </x14:conditionalFormatting>
        <x14:conditionalFormatting xmlns:xm="http://schemas.microsoft.com/office/excel/2006/main">
          <x14:cfRule type="expression" priority="2014" id="{8EE17CE4-4D81-499C-8BC0-3C1A75B0254F}">
            <xm:f>VLOOKUP(L14,Calendars!$O$1:$U$398,MATCH($X$1,Calendars!$O$1:$U$1,0),FALSE)="Non Contract"</xm:f>
            <x14:dxf>
              <fill>
                <patternFill patternType="lightDown"/>
              </fill>
              <border>
                <bottom/>
              </border>
            </x14:dxf>
          </x14:cfRule>
          <x14:cfRule type="expression" priority="2023" id="{5D223CCE-9E2A-414B-8AD1-A777F617CF0A}">
            <xm:f>VLOOKUP(L14,Calendars!$O$1:$U$398,MATCH($X$1,Calendars!$O$1:$U$1,0),FALSE)="Holiday"</xm:f>
            <x14:dxf>
              <fill>
                <patternFill>
                  <bgColor rgb="FFFF99FF"/>
                </patternFill>
              </fill>
              <border>
                <bottom/>
              </border>
            </x14:dxf>
          </x14:cfRule>
          <xm:sqref>L13:N13</xm:sqref>
        </x14:conditionalFormatting>
        <x14:conditionalFormatting xmlns:xm="http://schemas.microsoft.com/office/excel/2006/main">
          <x14:cfRule type="expression" priority="2003" id="{03413FE5-0DEB-49A0-8BE4-672962E370DF}">
            <xm:f>AND(VLOOKUP(Q6,Calendars!$O$1:$U$398,MATCH($X$1,Calendars!$O$1:$U$1,0),FALSE)="Non Contract",$C$5&gt;0)</xm:f>
            <x14:dxf>
              <fill>
                <patternFill patternType="solid">
                  <fgColor theme="4" tint="0.79998168889431442"/>
                  <bgColor theme="8" tint="0.79995117038483843"/>
                </patternFill>
              </fill>
            </x14:dxf>
          </x14:cfRule>
          <xm:sqref>Q5</xm:sqref>
        </x14:conditionalFormatting>
        <x14:conditionalFormatting xmlns:xm="http://schemas.microsoft.com/office/excel/2006/main">
          <x14:cfRule type="expression" priority="2013" id="{681F65F7-4624-4465-B5C2-394E4FB6F46C}">
            <xm:f>AND(VLOOKUP(Q6,Calendars!$O$1:$U$398,MATCH($X$1,Calendars!$O$1:$U$1,0),FALSE)="",Q5=0)</xm:f>
            <x14:dxf>
              <fill>
                <patternFill>
                  <bgColor theme="7" tint="0.79998168889431442"/>
                </patternFill>
              </fill>
            </x14:dxf>
          </x14:cfRule>
          <xm:sqref>Q5</xm:sqref>
        </x14:conditionalFormatting>
        <x14:conditionalFormatting xmlns:xm="http://schemas.microsoft.com/office/excel/2006/main">
          <x14:cfRule type="expression" priority="2002" id="{CFCC0E44-FCA0-4F2D-972B-7875859FF938}">
            <xm:f>VLOOKUP(Q6,Calendars!$O$1:$U$398,MATCH($X$1,Calendars!$O$1:$U$1,0),FALSE)="Non Contract"</xm:f>
            <x14:dxf>
              <fill>
                <patternFill patternType="lightDown"/>
              </fill>
              <border>
                <bottom/>
              </border>
            </x14:dxf>
          </x14:cfRule>
          <x14:cfRule type="expression" priority="2011" id="{0FD938CC-A1E7-4649-9E06-A2BD633C5F88}">
            <xm:f>VLOOKUP(Q6,Calendars!$O$1:$U$398,MATCH($X$1,Calendars!$O$1:$U$1,0),FALSE)="Holiday"</xm:f>
            <x14:dxf>
              <fill>
                <patternFill>
                  <bgColor rgb="FFFF99FF"/>
                </patternFill>
              </fill>
              <border>
                <bottom/>
              </border>
            </x14:dxf>
          </x14:cfRule>
          <xm:sqref>Q5</xm:sqref>
        </x14:conditionalFormatting>
        <x14:conditionalFormatting xmlns:xm="http://schemas.microsoft.com/office/excel/2006/main">
          <x14:cfRule type="expression" priority="1991" id="{BCED38DE-CA97-4AA9-BC8B-AE3BA4B4D86C}">
            <xm:f>AND(VLOOKUP(R6,Calendars!$O$1:$U$398,MATCH($X$1,Calendars!$O$1:$U$1,0),FALSE)="Non Contract",$C$5&gt;0)</xm:f>
            <x14:dxf>
              <fill>
                <patternFill patternType="solid">
                  <fgColor theme="4" tint="0.79998168889431442"/>
                  <bgColor theme="8" tint="0.79995117038483843"/>
                </patternFill>
              </fill>
            </x14:dxf>
          </x14:cfRule>
          <xm:sqref>R5</xm:sqref>
        </x14:conditionalFormatting>
        <x14:conditionalFormatting xmlns:xm="http://schemas.microsoft.com/office/excel/2006/main">
          <x14:cfRule type="expression" priority="2001" id="{3BB59F6A-F220-4922-8C8F-84C5CB763891}">
            <xm:f>AND(VLOOKUP(R6,Calendars!$O$1:$U$398,MATCH($X$1,Calendars!$O$1:$U$1,0),FALSE)="",R5=0)</xm:f>
            <x14:dxf>
              <fill>
                <patternFill>
                  <bgColor theme="7" tint="0.79998168889431442"/>
                </patternFill>
              </fill>
            </x14:dxf>
          </x14:cfRule>
          <xm:sqref>R5</xm:sqref>
        </x14:conditionalFormatting>
        <x14:conditionalFormatting xmlns:xm="http://schemas.microsoft.com/office/excel/2006/main">
          <x14:cfRule type="expression" priority="1990" id="{2A6FA5D3-3E30-4658-9C89-C389273D81CB}">
            <xm:f>VLOOKUP(R6,Calendars!$O$1:$U$398,MATCH($X$1,Calendars!$O$1:$U$1,0),FALSE)="Non Contract"</xm:f>
            <x14:dxf>
              <fill>
                <patternFill patternType="lightDown"/>
              </fill>
              <border>
                <bottom/>
              </border>
            </x14:dxf>
          </x14:cfRule>
          <x14:cfRule type="expression" priority="1999" id="{95D7AE76-3A8A-4BE1-81C8-E7CE7F2E5935}">
            <xm:f>VLOOKUP(R6,Calendars!$O$1:$U$398,MATCH($X$1,Calendars!$O$1:$U$1,0),FALSE)="Holiday"</xm:f>
            <x14:dxf>
              <fill>
                <patternFill>
                  <bgColor rgb="FFFF99FF"/>
                </patternFill>
              </fill>
              <border>
                <bottom/>
              </border>
            </x14:dxf>
          </x14:cfRule>
          <xm:sqref>R5</xm:sqref>
        </x14:conditionalFormatting>
        <x14:conditionalFormatting xmlns:xm="http://schemas.microsoft.com/office/excel/2006/main">
          <x14:cfRule type="expression" priority="1979" id="{A25F4829-D410-43EC-9272-3A5771E4B026}">
            <xm:f>AND(VLOOKUP(S6,Calendars!$O$1:$U$398,MATCH($X$1,Calendars!$O$1:$U$1,0),FALSE)="Non Contract",$C$5&gt;0)</xm:f>
            <x14:dxf>
              <fill>
                <patternFill patternType="solid">
                  <fgColor theme="4" tint="0.79998168889431442"/>
                  <bgColor theme="8" tint="0.79995117038483843"/>
                </patternFill>
              </fill>
            </x14:dxf>
          </x14:cfRule>
          <xm:sqref>S5:U5</xm:sqref>
        </x14:conditionalFormatting>
        <x14:conditionalFormatting xmlns:xm="http://schemas.microsoft.com/office/excel/2006/main">
          <x14:cfRule type="expression" priority="1989" id="{FE93EB66-D4A7-4AC5-843E-A6999D0970F2}">
            <xm:f>AND(VLOOKUP(S6,Calendars!$O$1:$U$398,MATCH($X$1,Calendars!$O$1:$U$1,0),FALSE)="",S5=0)</xm:f>
            <x14:dxf>
              <fill>
                <patternFill>
                  <bgColor theme="7" tint="0.79998168889431442"/>
                </patternFill>
              </fill>
            </x14:dxf>
          </x14:cfRule>
          <xm:sqref>S5:U5</xm:sqref>
        </x14:conditionalFormatting>
        <x14:conditionalFormatting xmlns:xm="http://schemas.microsoft.com/office/excel/2006/main">
          <x14:cfRule type="expression" priority="1978" id="{017FA158-05C9-4BF6-AB63-125FE4FA8695}">
            <xm:f>VLOOKUP(S6,Calendars!$O$1:$U$398,MATCH($X$1,Calendars!$O$1:$U$1,0),FALSE)="Non Contract"</xm:f>
            <x14:dxf>
              <fill>
                <patternFill patternType="lightDown"/>
              </fill>
              <border>
                <bottom/>
              </border>
            </x14:dxf>
          </x14:cfRule>
          <x14:cfRule type="expression" priority="1987" id="{DE67A516-D641-4B1E-A98D-E08021C40105}">
            <xm:f>VLOOKUP(S6,Calendars!$O$1:$U$398,MATCH($X$1,Calendars!$O$1:$U$1,0),FALSE)="Holiday"</xm:f>
            <x14:dxf>
              <fill>
                <patternFill>
                  <bgColor rgb="FFFF99FF"/>
                </patternFill>
              </fill>
              <border>
                <bottom/>
              </border>
            </x14:dxf>
          </x14:cfRule>
          <xm:sqref>S5:U5</xm:sqref>
        </x14:conditionalFormatting>
        <x14:conditionalFormatting xmlns:xm="http://schemas.microsoft.com/office/excel/2006/main">
          <x14:cfRule type="expression" priority="1967" id="{66F590B0-0F66-4F5C-8EE5-97F996A89B72}">
            <xm:f>AND(VLOOKUP(Q8,Calendars!$O$1:$U$398,MATCH($X$1,Calendars!$O$1:$U$1,0),FALSE)="Non Contract",$C$5&gt;0)</xm:f>
            <x14:dxf>
              <fill>
                <patternFill patternType="solid">
                  <fgColor theme="4" tint="0.79998168889431442"/>
                  <bgColor theme="8" tint="0.79995117038483843"/>
                </patternFill>
              </fill>
            </x14:dxf>
          </x14:cfRule>
          <xm:sqref>Q7</xm:sqref>
        </x14:conditionalFormatting>
        <x14:conditionalFormatting xmlns:xm="http://schemas.microsoft.com/office/excel/2006/main">
          <x14:cfRule type="expression" priority="1977" id="{095F4799-07ED-4D6D-95E3-E5D52C9255B0}">
            <xm:f>AND(VLOOKUP(Q8,Calendars!$O$1:$U$398,MATCH($X$1,Calendars!$O$1:$U$1,0),FALSE)="",Q7=0)</xm:f>
            <x14:dxf>
              <fill>
                <patternFill>
                  <bgColor theme="7" tint="0.79998168889431442"/>
                </patternFill>
              </fill>
            </x14:dxf>
          </x14:cfRule>
          <xm:sqref>Q7</xm:sqref>
        </x14:conditionalFormatting>
        <x14:conditionalFormatting xmlns:xm="http://schemas.microsoft.com/office/excel/2006/main">
          <x14:cfRule type="expression" priority="1966" id="{5CFC67D8-79D4-4991-A091-0844A94B6548}">
            <xm:f>VLOOKUP(Q8,Calendars!$O$1:$U$398,MATCH($X$1,Calendars!$O$1:$U$1,0),FALSE)="Non Contract"</xm:f>
            <x14:dxf>
              <fill>
                <patternFill patternType="lightDown"/>
              </fill>
              <border>
                <bottom/>
              </border>
            </x14:dxf>
          </x14:cfRule>
          <x14:cfRule type="expression" priority="1975" id="{63B947F3-9F42-478E-B0FA-8EF4978B2BB8}">
            <xm:f>VLOOKUP(Q8,Calendars!$O$1:$U$398,MATCH($X$1,Calendars!$O$1:$U$1,0),FALSE)="Holiday"</xm:f>
            <x14:dxf>
              <fill>
                <patternFill>
                  <bgColor rgb="FFFF99FF"/>
                </patternFill>
              </fill>
              <border>
                <bottom/>
              </border>
            </x14:dxf>
          </x14:cfRule>
          <xm:sqref>Q7</xm:sqref>
        </x14:conditionalFormatting>
        <x14:conditionalFormatting xmlns:xm="http://schemas.microsoft.com/office/excel/2006/main">
          <x14:cfRule type="expression" priority="1955" id="{2B1BA794-4261-49C9-941B-2F875958FEB3}">
            <xm:f>AND(VLOOKUP(R8,Calendars!$O$1:$U$398,MATCH($X$1,Calendars!$O$1:$U$1,0),FALSE)="Non Contract",$C$5&gt;0)</xm:f>
            <x14:dxf>
              <fill>
                <patternFill patternType="solid">
                  <fgColor theme="4" tint="0.79998168889431442"/>
                  <bgColor theme="8" tint="0.79995117038483843"/>
                </patternFill>
              </fill>
            </x14:dxf>
          </x14:cfRule>
          <xm:sqref>R7</xm:sqref>
        </x14:conditionalFormatting>
        <x14:conditionalFormatting xmlns:xm="http://schemas.microsoft.com/office/excel/2006/main">
          <x14:cfRule type="expression" priority="1965" id="{B6168412-901D-42B9-B692-4EC5108E3F6A}">
            <xm:f>AND(VLOOKUP(R8,Calendars!$O$1:$U$398,MATCH($X$1,Calendars!$O$1:$U$1,0),FALSE)="",R7=0)</xm:f>
            <x14:dxf>
              <fill>
                <patternFill>
                  <bgColor theme="7" tint="0.79998168889431442"/>
                </patternFill>
              </fill>
            </x14:dxf>
          </x14:cfRule>
          <xm:sqref>R7</xm:sqref>
        </x14:conditionalFormatting>
        <x14:conditionalFormatting xmlns:xm="http://schemas.microsoft.com/office/excel/2006/main">
          <x14:cfRule type="expression" priority="1954" id="{CA1F2F61-E0FB-459C-9495-DDA6127CDEF4}">
            <xm:f>VLOOKUP(R8,Calendars!$O$1:$U$398,MATCH($X$1,Calendars!$O$1:$U$1,0),FALSE)="Non Contract"</xm:f>
            <x14:dxf>
              <fill>
                <patternFill patternType="lightDown"/>
              </fill>
              <border>
                <bottom/>
              </border>
            </x14:dxf>
          </x14:cfRule>
          <x14:cfRule type="expression" priority="1963" id="{865A737A-1469-46F3-B0C0-4E100E41A3A3}">
            <xm:f>VLOOKUP(R8,Calendars!$O$1:$U$398,MATCH($X$1,Calendars!$O$1:$U$1,0),FALSE)="Holiday"</xm:f>
            <x14:dxf>
              <fill>
                <patternFill>
                  <bgColor rgb="FFFF99FF"/>
                </patternFill>
              </fill>
              <border>
                <bottom/>
              </border>
            </x14:dxf>
          </x14:cfRule>
          <xm:sqref>R7</xm:sqref>
        </x14:conditionalFormatting>
        <x14:conditionalFormatting xmlns:xm="http://schemas.microsoft.com/office/excel/2006/main">
          <x14:cfRule type="expression" priority="1943" id="{880069FD-26D3-43AE-975A-6FB413E9E8E4}">
            <xm:f>AND(VLOOKUP(S8,Calendars!$O$1:$U$398,MATCH($X$1,Calendars!$O$1:$U$1,0),FALSE)="Non Contract",$C$5&gt;0)</xm:f>
            <x14:dxf>
              <fill>
                <patternFill patternType="solid">
                  <fgColor theme="4" tint="0.79998168889431442"/>
                  <bgColor theme="8" tint="0.79995117038483843"/>
                </patternFill>
              </fill>
            </x14:dxf>
          </x14:cfRule>
          <xm:sqref>S7:U7</xm:sqref>
        </x14:conditionalFormatting>
        <x14:conditionalFormatting xmlns:xm="http://schemas.microsoft.com/office/excel/2006/main">
          <x14:cfRule type="expression" priority="1953" id="{8AB262D3-D4C7-4479-81FA-8A1DD869AC53}">
            <xm:f>AND(VLOOKUP(S8,Calendars!$O$1:$U$398,MATCH($X$1,Calendars!$O$1:$U$1,0),FALSE)="",S7=0)</xm:f>
            <x14:dxf>
              <fill>
                <patternFill>
                  <bgColor theme="7" tint="0.79998168889431442"/>
                </patternFill>
              </fill>
            </x14:dxf>
          </x14:cfRule>
          <xm:sqref>S7:U7</xm:sqref>
        </x14:conditionalFormatting>
        <x14:conditionalFormatting xmlns:xm="http://schemas.microsoft.com/office/excel/2006/main">
          <x14:cfRule type="expression" priority="1942" id="{37739A6D-0768-438F-99A6-A5932969C3B0}">
            <xm:f>VLOOKUP(S8,Calendars!$O$1:$U$398,MATCH($X$1,Calendars!$O$1:$U$1,0),FALSE)="Non Contract"</xm:f>
            <x14:dxf>
              <fill>
                <patternFill patternType="lightDown"/>
              </fill>
              <border>
                <bottom/>
              </border>
            </x14:dxf>
          </x14:cfRule>
          <x14:cfRule type="expression" priority="1951" id="{B50149E9-9DC6-4F71-A3F1-118D35493CDC}">
            <xm:f>VLOOKUP(S8,Calendars!$O$1:$U$398,MATCH($X$1,Calendars!$O$1:$U$1,0),FALSE)="Holiday"</xm:f>
            <x14:dxf>
              <fill>
                <patternFill>
                  <bgColor rgb="FFFF99FF"/>
                </patternFill>
              </fill>
              <border>
                <bottom/>
              </border>
            </x14:dxf>
          </x14:cfRule>
          <xm:sqref>S7:U7</xm:sqref>
        </x14:conditionalFormatting>
        <x14:conditionalFormatting xmlns:xm="http://schemas.microsoft.com/office/excel/2006/main">
          <x14:cfRule type="expression" priority="1931" id="{3491E529-DD8B-40A7-88B1-30793C4E9E84}">
            <xm:f>AND(VLOOKUP(Q10,Calendars!$O$1:$U$398,MATCH($X$1,Calendars!$O$1:$U$1,0),FALSE)="Non Contract",$C$5&gt;0)</xm:f>
            <x14:dxf>
              <fill>
                <patternFill patternType="solid">
                  <fgColor theme="4" tint="0.79998168889431442"/>
                  <bgColor theme="8" tint="0.79995117038483843"/>
                </patternFill>
              </fill>
            </x14:dxf>
          </x14:cfRule>
          <xm:sqref>Q9</xm:sqref>
        </x14:conditionalFormatting>
        <x14:conditionalFormatting xmlns:xm="http://schemas.microsoft.com/office/excel/2006/main">
          <x14:cfRule type="expression" priority="1941" id="{F7B5493E-68D0-4BC9-B791-F27FDA9A8F1D}">
            <xm:f>AND(VLOOKUP(Q10,Calendars!$O$1:$U$398,MATCH($X$1,Calendars!$O$1:$U$1,0),FALSE)="",Q9=0)</xm:f>
            <x14:dxf>
              <fill>
                <patternFill>
                  <bgColor theme="7" tint="0.79998168889431442"/>
                </patternFill>
              </fill>
            </x14:dxf>
          </x14:cfRule>
          <xm:sqref>Q9</xm:sqref>
        </x14:conditionalFormatting>
        <x14:conditionalFormatting xmlns:xm="http://schemas.microsoft.com/office/excel/2006/main">
          <x14:cfRule type="expression" priority="1930" id="{9D93C10A-0EFD-4B79-BCE9-A768D2D848EF}">
            <xm:f>VLOOKUP(Q10,Calendars!$O$1:$U$398,MATCH($X$1,Calendars!$O$1:$U$1,0),FALSE)="Non Contract"</xm:f>
            <x14:dxf>
              <fill>
                <patternFill patternType="lightDown"/>
              </fill>
              <border>
                <bottom/>
              </border>
            </x14:dxf>
          </x14:cfRule>
          <x14:cfRule type="expression" priority="1939" id="{391A2833-AB77-48AE-8B6A-8B973D7BD4F0}">
            <xm:f>VLOOKUP(Q10,Calendars!$O$1:$U$398,MATCH($X$1,Calendars!$O$1:$U$1,0),FALSE)="Holiday"</xm:f>
            <x14:dxf>
              <fill>
                <patternFill>
                  <bgColor rgb="FFFF99FF"/>
                </patternFill>
              </fill>
              <border>
                <bottom/>
              </border>
            </x14:dxf>
          </x14:cfRule>
          <xm:sqref>Q9</xm:sqref>
        </x14:conditionalFormatting>
        <x14:conditionalFormatting xmlns:xm="http://schemas.microsoft.com/office/excel/2006/main">
          <x14:cfRule type="expression" priority="1919" id="{B1E8AA39-135D-4A20-9E17-C4FFE8DE5396}">
            <xm:f>AND(VLOOKUP(R10,Calendars!$O$1:$U$398,MATCH($X$1,Calendars!$O$1:$U$1,0),FALSE)="Non Contract",$C$5&gt;0)</xm:f>
            <x14:dxf>
              <fill>
                <patternFill patternType="solid">
                  <fgColor theme="4" tint="0.79998168889431442"/>
                  <bgColor theme="8" tint="0.79995117038483843"/>
                </patternFill>
              </fill>
            </x14:dxf>
          </x14:cfRule>
          <xm:sqref>R9</xm:sqref>
        </x14:conditionalFormatting>
        <x14:conditionalFormatting xmlns:xm="http://schemas.microsoft.com/office/excel/2006/main">
          <x14:cfRule type="expression" priority="1929" id="{5F3D591D-C44D-4F50-B38B-A8A6CD0B5528}">
            <xm:f>AND(VLOOKUP(R10,Calendars!$O$1:$U$398,MATCH($X$1,Calendars!$O$1:$U$1,0),FALSE)="",R9=0)</xm:f>
            <x14:dxf>
              <fill>
                <patternFill>
                  <bgColor theme="7" tint="0.79998168889431442"/>
                </patternFill>
              </fill>
            </x14:dxf>
          </x14:cfRule>
          <xm:sqref>R9</xm:sqref>
        </x14:conditionalFormatting>
        <x14:conditionalFormatting xmlns:xm="http://schemas.microsoft.com/office/excel/2006/main">
          <x14:cfRule type="expression" priority="1918" id="{06BF71A6-EA98-44FF-AC89-4622B9E588B7}">
            <xm:f>VLOOKUP(R10,Calendars!$O$1:$U$398,MATCH($X$1,Calendars!$O$1:$U$1,0),FALSE)="Non Contract"</xm:f>
            <x14:dxf>
              <fill>
                <patternFill patternType="lightDown"/>
              </fill>
              <border>
                <bottom/>
              </border>
            </x14:dxf>
          </x14:cfRule>
          <x14:cfRule type="expression" priority="1927" id="{7C272A57-B08B-4E38-A5BE-577F774C58F9}">
            <xm:f>VLOOKUP(R10,Calendars!$O$1:$U$398,MATCH($X$1,Calendars!$O$1:$U$1,0),FALSE)="Holiday"</xm:f>
            <x14:dxf>
              <fill>
                <patternFill>
                  <bgColor rgb="FFFF99FF"/>
                </patternFill>
              </fill>
              <border>
                <bottom/>
              </border>
            </x14:dxf>
          </x14:cfRule>
          <xm:sqref>R9</xm:sqref>
        </x14:conditionalFormatting>
        <x14:conditionalFormatting xmlns:xm="http://schemas.microsoft.com/office/excel/2006/main">
          <x14:cfRule type="expression" priority="1907" id="{1370D40D-21FA-4FC6-86B1-D6C2911A4DAC}">
            <xm:f>AND(VLOOKUP(S10,Calendars!$O$1:$U$398,MATCH($X$1,Calendars!$O$1:$U$1,0),FALSE)="Non Contract",$C$5&gt;0)</xm:f>
            <x14:dxf>
              <fill>
                <patternFill patternType="solid">
                  <fgColor theme="4" tint="0.79998168889431442"/>
                  <bgColor theme="8" tint="0.79995117038483843"/>
                </patternFill>
              </fill>
            </x14:dxf>
          </x14:cfRule>
          <xm:sqref>S9:U9</xm:sqref>
        </x14:conditionalFormatting>
        <x14:conditionalFormatting xmlns:xm="http://schemas.microsoft.com/office/excel/2006/main">
          <x14:cfRule type="expression" priority="1917" id="{CCF0DD57-8542-4EF9-A5CF-0954EA998443}">
            <xm:f>AND(VLOOKUP(S10,Calendars!$O$1:$U$398,MATCH($X$1,Calendars!$O$1:$U$1,0),FALSE)="",S9=0)</xm:f>
            <x14:dxf>
              <fill>
                <patternFill>
                  <bgColor theme="7" tint="0.79998168889431442"/>
                </patternFill>
              </fill>
            </x14:dxf>
          </x14:cfRule>
          <xm:sqref>S9:U9</xm:sqref>
        </x14:conditionalFormatting>
        <x14:conditionalFormatting xmlns:xm="http://schemas.microsoft.com/office/excel/2006/main">
          <x14:cfRule type="expression" priority="1906" id="{F46336ED-74BB-4F39-9A6A-F6F917539806}">
            <xm:f>VLOOKUP(S10,Calendars!$O$1:$U$398,MATCH($X$1,Calendars!$O$1:$U$1,0),FALSE)="Non Contract"</xm:f>
            <x14:dxf>
              <fill>
                <patternFill patternType="lightDown"/>
              </fill>
              <border>
                <bottom/>
              </border>
            </x14:dxf>
          </x14:cfRule>
          <x14:cfRule type="expression" priority="1915" id="{20FB0862-7881-43ED-87F5-2E4FCA18870D}">
            <xm:f>VLOOKUP(S10,Calendars!$O$1:$U$398,MATCH($X$1,Calendars!$O$1:$U$1,0),FALSE)="Holiday"</xm:f>
            <x14:dxf>
              <fill>
                <patternFill>
                  <bgColor rgb="FFFF99FF"/>
                </patternFill>
              </fill>
              <border>
                <bottom/>
              </border>
            </x14:dxf>
          </x14:cfRule>
          <xm:sqref>S9:U9</xm:sqref>
        </x14:conditionalFormatting>
        <x14:conditionalFormatting xmlns:xm="http://schemas.microsoft.com/office/excel/2006/main">
          <x14:cfRule type="expression" priority="1895" id="{AA8A7A62-3479-4470-AE60-3C7D86BC246C}">
            <xm:f>AND(VLOOKUP(Q12,Calendars!$O$1:$U$398,MATCH($X$1,Calendars!$O$1:$U$1,0),FALSE)="Non Contract",$C$5&gt;0)</xm:f>
            <x14:dxf>
              <fill>
                <patternFill patternType="solid">
                  <fgColor theme="4" tint="0.79998168889431442"/>
                  <bgColor theme="8" tint="0.79995117038483843"/>
                </patternFill>
              </fill>
            </x14:dxf>
          </x14:cfRule>
          <xm:sqref>Q11</xm:sqref>
        </x14:conditionalFormatting>
        <x14:conditionalFormatting xmlns:xm="http://schemas.microsoft.com/office/excel/2006/main">
          <x14:cfRule type="expression" priority="1905" id="{6B44623E-86C8-4045-82F5-F6F83FEFD309}">
            <xm:f>AND(VLOOKUP(Q12,Calendars!$O$1:$U$398,MATCH($X$1,Calendars!$O$1:$U$1,0),FALSE)="",Q11=0)</xm:f>
            <x14:dxf>
              <fill>
                <patternFill>
                  <bgColor theme="7" tint="0.79998168889431442"/>
                </patternFill>
              </fill>
            </x14:dxf>
          </x14:cfRule>
          <xm:sqref>Q11</xm:sqref>
        </x14:conditionalFormatting>
        <x14:conditionalFormatting xmlns:xm="http://schemas.microsoft.com/office/excel/2006/main">
          <x14:cfRule type="expression" priority="1894" id="{6C52FD68-03C8-443C-B6A2-A878D40C766F}">
            <xm:f>VLOOKUP(Q12,Calendars!$O$1:$U$398,MATCH($X$1,Calendars!$O$1:$U$1,0),FALSE)="Non Contract"</xm:f>
            <x14:dxf>
              <fill>
                <patternFill patternType="lightDown"/>
              </fill>
              <border>
                <bottom/>
              </border>
            </x14:dxf>
          </x14:cfRule>
          <x14:cfRule type="expression" priority="1903" id="{8770EC6F-491B-46B9-9AEE-388F42E9F5A2}">
            <xm:f>VLOOKUP(Q12,Calendars!$O$1:$U$398,MATCH($X$1,Calendars!$O$1:$U$1,0),FALSE)="Holiday"</xm:f>
            <x14:dxf>
              <fill>
                <patternFill>
                  <bgColor rgb="FFFF99FF"/>
                </patternFill>
              </fill>
              <border>
                <bottom/>
              </border>
            </x14:dxf>
          </x14:cfRule>
          <xm:sqref>Q11</xm:sqref>
        </x14:conditionalFormatting>
        <x14:conditionalFormatting xmlns:xm="http://schemas.microsoft.com/office/excel/2006/main">
          <x14:cfRule type="expression" priority="1883" id="{48460119-5934-48F5-B8DE-49109E4F55FA}">
            <xm:f>AND(VLOOKUP(R12,Calendars!$O$1:$U$398,MATCH($X$1,Calendars!$O$1:$U$1,0),FALSE)="Non Contract",$C$5&gt;0)</xm:f>
            <x14:dxf>
              <fill>
                <patternFill patternType="solid">
                  <fgColor theme="4" tint="0.79998168889431442"/>
                  <bgColor theme="8" tint="0.79995117038483843"/>
                </patternFill>
              </fill>
            </x14:dxf>
          </x14:cfRule>
          <xm:sqref>R11</xm:sqref>
        </x14:conditionalFormatting>
        <x14:conditionalFormatting xmlns:xm="http://schemas.microsoft.com/office/excel/2006/main">
          <x14:cfRule type="expression" priority="1893" id="{FDE455BE-4DD3-4537-BC53-E352BBA879B2}">
            <xm:f>AND(VLOOKUP(R12,Calendars!$O$1:$U$398,MATCH($X$1,Calendars!$O$1:$U$1,0),FALSE)="",R11=0)</xm:f>
            <x14:dxf>
              <fill>
                <patternFill>
                  <bgColor theme="7" tint="0.79998168889431442"/>
                </patternFill>
              </fill>
            </x14:dxf>
          </x14:cfRule>
          <xm:sqref>R11</xm:sqref>
        </x14:conditionalFormatting>
        <x14:conditionalFormatting xmlns:xm="http://schemas.microsoft.com/office/excel/2006/main">
          <x14:cfRule type="expression" priority="1882" id="{E0727E4D-E39F-4D35-B4CA-385A53F42B7C}">
            <xm:f>VLOOKUP(R12,Calendars!$O$1:$U$398,MATCH($X$1,Calendars!$O$1:$U$1,0),FALSE)="Non Contract"</xm:f>
            <x14:dxf>
              <fill>
                <patternFill patternType="lightDown"/>
              </fill>
              <border>
                <bottom/>
              </border>
            </x14:dxf>
          </x14:cfRule>
          <x14:cfRule type="expression" priority="1891" id="{5BF0C85B-81D4-4859-B800-4950A98D2741}">
            <xm:f>VLOOKUP(R12,Calendars!$O$1:$U$398,MATCH($X$1,Calendars!$O$1:$U$1,0),FALSE)="Holiday"</xm:f>
            <x14:dxf>
              <fill>
                <patternFill>
                  <bgColor rgb="FFFF99FF"/>
                </patternFill>
              </fill>
              <border>
                <bottom/>
              </border>
            </x14:dxf>
          </x14:cfRule>
          <xm:sqref>R11</xm:sqref>
        </x14:conditionalFormatting>
        <x14:conditionalFormatting xmlns:xm="http://schemas.microsoft.com/office/excel/2006/main">
          <x14:cfRule type="expression" priority="1871" id="{2245D0B5-7CB1-4393-A0F0-A57C4E35008A}">
            <xm:f>AND(VLOOKUP(S12,Calendars!$O$1:$U$398,MATCH($X$1,Calendars!$O$1:$U$1,0),FALSE)="Non Contract",$C$5&gt;0)</xm:f>
            <x14:dxf>
              <fill>
                <patternFill patternType="solid">
                  <fgColor theme="4" tint="0.79998168889431442"/>
                  <bgColor theme="8" tint="0.79995117038483843"/>
                </patternFill>
              </fill>
            </x14:dxf>
          </x14:cfRule>
          <xm:sqref>S11:U11</xm:sqref>
        </x14:conditionalFormatting>
        <x14:conditionalFormatting xmlns:xm="http://schemas.microsoft.com/office/excel/2006/main">
          <x14:cfRule type="expression" priority="1881" id="{D4A2E4B3-C9D3-4667-B39E-58F466CBA525}">
            <xm:f>AND(VLOOKUP(S12,Calendars!$O$1:$U$398,MATCH($X$1,Calendars!$O$1:$U$1,0),FALSE)="",S11=0)</xm:f>
            <x14:dxf>
              <fill>
                <patternFill>
                  <bgColor theme="7" tint="0.79998168889431442"/>
                </patternFill>
              </fill>
            </x14:dxf>
          </x14:cfRule>
          <xm:sqref>S11:U11</xm:sqref>
        </x14:conditionalFormatting>
        <x14:conditionalFormatting xmlns:xm="http://schemas.microsoft.com/office/excel/2006/main">
          <x14:cfRule type="expression" priority="1870" id="{0343F0FF-B2F2-4B81-A6F9-C5F594CF8694}">
            <xm:f>VLOOKUP(S12,Calendars!$O$1:$U$398,MATCH($X$1,Calendars!$O$1:$U$1,0),FALSE)="Non Contract"</xm:f>
            <x14:dxf>
              <fill>
                <patternFill patternType="lightDown"/>
              </fill>
              <border>
                <bottom/>
              </border>
            </x14:dxf>
          </x14:cfRule>
          <x14:cfRule type="expression" priority="1879" id="{A739694C-B8FC-40CA-9E06-6F055CC48EB8}">
            <xm:f>VLOOKUP(S12,Calendars!$O$1:$U$398,MATCH($X$1,Calendars!$O$1:$U$1,0),FALSE)="Holiday"</xm:f>
            <x14:dxf>
              <fill>
                <patternFill>
                  <bgColor rgb="FFFF99FF"/>
                </patternFill>
              </fill>
              <border>
                <bottom/>
              </border>
            </x14:dxf>
          </x14:cfRule>
          <xm:sqref>S11:U11</xm:sqref>
        </x14:conditionalFormatting>
        <x14:conditionalFormatting xmlns:xm="http://schemas.microsoft.com/office/excel/2006/main">
          <x14:cfRule type="expression" priority="1859" id="{52EBA555-BDBD-4F40-A502-B0F146678386}">
            <xm:f>AND(VLOOKUP(Q14,Calendars!$O$1:$U$398,MATCH($X$1,Calendars!$O$1:$U$1,0),FALSE)="Non Contract",$C$5&gt;0)</xm:f>
            <x14:dxf>
              <fill>
                <patternFill patternType="solid">
                  <fgColor theme="4" tint="0.79998168889431442"/>
                  <bgColor theme="8" tint="0.79995117038483843"/>
                </patternFill>
              </fill>
            </x14:dxf>
          </x14:cfRule>
          <xm:sqref>Q13</xm:sqref>
        </x14:conditionalFormatting>
        <x14:conditionalFormatting xmlns:xm="http://schemas.microsoft.com/office/excel/2006/main">
          <x14:cfRule type="expression" priority="1869" id="{0F54C741-6BE9-4599-B589-5AB7F4E4D658}">
            <xm:f>AND(VLOOKUP(Q14,Calendars!$O$1:$U$398,MATCH($X$1,Calendars!$O$1:$U$1,0),FALSE)="",Q13=0)</xm:f>
            <x14:dxf>
              <fill>
                <patternFill>
                  <bgColor theme="7" tint="0.79998168889431442"/>
                </patternFill>
              </fill>
            </x14:dxf>
          </x14:cfRule>
          <xm:sqref>Q13</xm:sqref>
        </x14:conditionalFormatting>
        <x14:conditionalFormatting xmlns:xm="http://schemas.microsoft.com/office/excel/2006/main">
          <x14:cfRule type="expression" priority="1858" id="{4339E7FC-793B-4739-AF2C-7413C12C68D0}">
            <xm:f>VLOOKUP(Q14,Calendars!$O$1:$U$398,MATCH($X$1,Calendars!$O$1:$U$1,0),FALSE)="Non Contract"</xm:f>
            <x14:dxf>
              <fill>
                <patternFill patternType="lightDown"/>
              </fill>
              <border>
                <bottom/>
              </border>
            </x14:dxf>
          </x14:cfRule>
          <x14:cfRule type="expression" priority="1867" id="{1718C39D-8A58-4941-BE79-CBC303E15646}">
            <xm:f>VLOOKUP(Q14,Calendars!$O$1:$U$398,MATCH($X$1,Calendars!$O$1:$U$1,0),FALSE)="Holiday"</xm:f>
            <x14:dxf>
              <fill>
                <patternFill>
                  <bgColor rgb="FFFF99FF"/>
                </patternFill>
              </fill>
              <border>
                <bottom/>
              </border>
            </x14:dxf>
          </x14:cfRule>
          <xm:sqref>Q13</xm:sqref>
        </x14:conditionalFormatting>
        <x14:conditionalFormatting xmlns:xm="http://schemas.microsoft.com/office/excel/2006/main">
          <x14:cfRule type="expression" priority="1847" id="{E9C5143B-E03F-4A64-B786-36E4820A94FB}">
            <xm:f>AND(VLOOKUP(R14,Calendars!$O$1:$U$398,MATCH($X$1,Calendars!$O$1:$U$1,0),FALSE)="Non Contract",$C$5&gt;0)</xm:f>
            <x14:dxf>
              <fill>
                <patternFill patternType="solid">
                  <fgColor theme="4" tint="0.79998168889431442"/>
                  <bgColor theme="8" tint="0.79995117038483843"/>
                </patternFill>
              </fill>
            </x14:dxf>
          </x14:cfRule>
          <xm:sqref>R13</xm:sqref>
        </x14:conditionalFormatting>
        <x14:conditionalFormatting xmlns:xm="http://schemas.microsoft.com/office/excel/2006/main">
          <x14:cfRule type="expression" priority="1857" id="{3B121D2E-8BDD-4E33-9C88-41AE4A84588B}">
            <xm:f>AND(VLOOKUP(R14,Calendars!$O$1:$U$398,MATCH($X$1,Calendars!$O$1:$U$1,0),FALSE)="",R13=0)</xm:f>
            <x14:dxf>
              <fill>
                <patternFill>
                  <bgColor theme="7" tint="0.79998168889431442"/>
                </patternFill>
              </fill>
            </x14:dxf>
          </x14:cfRule>
          <xm:sqref>R13</xm:sqref>
        </x14:conditionalFormatting>
        <x14:conditionalFormatting xmlns:xm="http://schemas.microsoft.com/office/excel/2006/main">
          <x14:cfRule type="expression" priority="1846" id="{6EDE1E34-4A0E-4D32-8792-F0D3B2DE26BA}">
            <xm:f>VLOOKUP(R14,Calendars!$O$1:$U$398,MATCH($X$1,Calendars!$O$1:$U$1,0),FALSE)="Non Contract"</xm:f>
            <x14:dxf>
              <fill>
                <patternFill patternType="lightDown"/>
              </fill>
              <border>
                <bottom/>
              </border>
            </x14:dxf>
          </x14:cfRule>
          <x14:cfRule type="expression" priority="1855" id="{32680678-2740-45B5-BA6B-3AB235CB1C33}">
            <xm:f>VLOOKUP(R14,Calendars!$O$1:$U$398,MATCH($X$1,Calendars!$O$1:$U$1,0),FALSE)="Holiday"</xm:f>
            <x14:dxf>
              <fill>
                <patternFill>
                  <bgColor rgb="FFFF99FF"/>
                </patternFill>
              </fill>
              <border>
                <bottom/>
              </border>
            </x14:dxf>
          </x14:cfRule>
          <xm:sqref>R13</xm:sqref>
        </x14:conditionalFormatting>
        <x14:conditionalFormatting xmlns:xm="http://schemas.microsoft.com/office/excel/2006/main">
          <x14:cfRule type="expression" priority="1835" id="{83778DF2-34CB-4091-A485-1C0CAB5541BD}">
            <xm:f>AND(VLOOKUP(S14,Calendars!$O$1:$U$398,MATCH($X$1,Calendars!$O$1:$U$1,0),FALSE)="Non Contract",$C$5&gt;0)</xm:f>
            <x14:dxf>
              <fill>
                <patternFill patternType="solid">
                  <fgColor theme="4" tint="0.79998168889431442"/>
                  <bgColor theme="8" tint="0.79995117038483843"/>
                </patternFill>
              </fill>
            </x14:dxf>
          </x14:cfRule>
          <xm:sqref>S13:U13</xm:sqref>
        </x14:conditionalFormatting>
        <x14:conditionalFormatting xmlns:xm="http://schemas.microsoft.com/office/excel/2006/main">
          <x14:cfRule type="expression" priority="1845" id="{66BD0689-996D-4B6D-AE58-D55B1BEBD915}">
            <xm:f>AND(VLOOKUP(S14,Calendars!$O$1:$U$398,MATCH($X$1,Calendars!$O$1:$U$1,0),FALSE)="",S13=0)</xm:f>
            <x14:dxf>
              <fill>
                <patternFill>
                  <bgColor theme="7" tint="0.79998168889431442"/>
                </patternFill>
              </fill>
            </x14:dxf>
          </x14:cfRule>
          <xm:sqref>S13:U13</xm:sqref>
        </x14:conditionalFormatting>
        <x14:conditionalFormatting xmlns:xm="http://schemas.microsoft.com/office/excel/2006/main">
          <x14:cfRule type="expression" priority="1834" id="{B29D615E-5BC5-467A-B312-E394B35AF773}">
            <xm:f>VLOOKUP(S14,Calendars!$O$1:$U$398,MATCH($X$1,Calendars!$O$1:$U$1,0),FALSE)="Non Contract"</xm:f>
            <x14:dxf>
              <fill>
                <patternFill patternType="lightDown"/>
              </fill>
              <border>
                <bottom/>
              </border>
            </x14:dxf>
          </x14:cfRule>
          <x14:cfRule type="expression" priority="1843" id="{E025EA60-D944-4DE1-9D4E-01B5120F9B68}">
            <xm:f>VLOOKUP(S14,Calendars!$O$1:$U$398,MATCH($X$1,Calendars!$O$1:$U$1,0),FALSE)="Holiday"</xm:f>
            <x14:dxf>
              <fill>
                <patternFill>
                  <bgColor rgb="FFFF99FF"/>
                </patternFill>
              </fill>
              <border>
                <bottom/>
              </border>
            </x14:dxf>
          </x14:cfRule>
          <xm:sqref>S13:U13</xm:sqref>
        </x14:conditionalFormatting>
        <x14:conditionalFormatting xmlns:xm="http://schemas.microsoft.com/office/excel/2006/main">
          <x14:cfRule type="expression" priority="1823" id="{B4E382DD-C7D8-4FCC-8599-DE63D11F3C0C}">
            <xm:f>AND(VLOOKUP(X6,Calendars!$O$1:$U$398,MATCH($X$1,Calendars!$O$1:$U$1,0),FALSE)="Non Contract",$C$5&gt;0)</xm:f>
            <x14:dxf>
              <fill>
                <patternFill patternType="solid">
                  <fgColor theme="4" tint="0.79998168889431442"/>
                  <bgColor theme="8" tint="0.79995117038483843"/>
                </patternFill>
              </fill>
            </x14:dxf>
          </x14:cfRule>
          <xm:sqref>X5</xm:sqref>
        </x14:conditionalFormatting>
        <x14:conditionalFormatting xmlns:xm="http://schemas.microsoft.com/office/excel/2006/main">
          <x14:cfRule type="expression" priority="1833" id="{61B21F86-3089-47E5-BDB5-39D54E2CFC38}">
            <xm:f>AND(VLOOKUP(X6,Calendars!$O$1:$U$398,MATCH($X$1,Calendars!$O$1:$U$1,0),FALSE)="",X5=0)</xm:f>
            <x14:dxf>
              <fill>
                <patternFill>
                  <bgColor theme="7" tint="0.79998168889431442"/>
                </patternFill>
              </fill>
            </x14:dxf>
          </x14:cfRule>
          <xm:sqref>X5</xm:sqref>
        </x14:conditionalFormatting>
        <x14:conditionalFormatting xmlns:xm="http://schemas.microsoft.com/office/excel/2006/main">
          <x14:cfRule type="expression" priority="1822" id="{F7EE8895-A3CA-4F66-B9E4-8182F1F1354D}">
            <xm:f>VLOOKUP(X6,Calendars!$O$1:$U$398,MATCH($X$1,Calendars!$O$1:$U$1,0),FALSE)="Non Contract"</xm:f>
            <x14:dxf>
              <fill>
                <patternFill patternType="lightDown"/>
              </fill>
              <border>
                <bottom/>
              </border>
            </x14:dxf>
          </x14:cfRule>
          <x14:cfRule type="expression" priority="1831" id="{4DEC379A-58DE-4B1A-8296-1C26C5BF2F1A}">
            <xm:f>VLOOKUP(X6,Calendars!$O$1:$U$398,MATCH($X$1,Calendars!$O$1:$U$1,0),FALSE)="Holiday"</xm:f>
            <x14:dxf>
              <fill>
                <patternFill>
                  <bgColor rgb="FFFF99FF"/>
                </patternFill>
              </fill>
              <border>
                <bottom/>
              </border>
            </x14:dxf>
          </x14:cfRule>
          <xm:sqref>X5</xm:sqref>
        </x14:conditionalFormatting>
        <x14:conditionalFormatting xmlns:xm="http://schemas.microsoft.com/office/excel/2006/main">
          <x14:cfRule type="expression" priority="1811" id="{9B863215-4F64-485F-9307-EA70372FA8C9}">
            <xm:f>AND(VLOOKUP(Y6,Calendars!$O$1:$U$398,MATCH($X$1,Calendars!$O$1:$U$1,0),FALSE)="Non Contract",$C$5&gt;0)</xm:f>
            <x14:dxf>
              <fill>
                <patternFill patternType="solid">
                  <fgColor theme="4" tint="0.79998168889431442"/>
                  <bgColor theme="8" tint="0.79995117038483843"/>
                </patternFill>
              </fill>
            </x14:dxf>
          </x14:cfRule>
          <xm:sqref>Y5</xm:sqref>
        </x14:conditionalFormatting>
        <x14:conditionalFormatting xmlns:xm="http://schemas.microsoft.com/office/excel/2006/main">
          <x14:cfRule type="expression" priority="1821" id="{A6B25150-36DC-48F5-9C12-3290CDB5C8F2}">
            <xm:f>AND(VLOOKUP(Y6,Calendars!$O$1:$U$398,MATCH($X$1,Calendars!$O$1:$U$1,0),FALSE)="",Y5=0)</xm:f>
            <x14:dxf>
              <fill>
                <patternFill>
                  <bgColor theme="7" tint="0.79998168889431442"/>
                </patternFill>
              </fill>
            </x14:dxf>
          </x14:cfRule>
          <xm:sqref>Y5</xm:sqref>
        </x14:conditionalFormatting>
        <x14:conditionalFormatting xmlns:xm="http://schemas.microsoft.com/office/excel/2006/main">
          <x14:cfRule type="expression" priority="1810" id="{B9EFDE69-7B5C-4C3B-AC10-A198028FA0F3}">
            <xm:f>VLOOKUP(Y6,Calendars!$O$1:$U$398,MATCH($X$1,Calendars!$O$1:$U$1,0),FALSE)="Non Contract"</xm:f>
            <x14:dxf>
              <fill>
                <patternFill patternType="lightDown"/>
              </fill>
              <border>
                <bottom/>
              </border>
            </x14:dxf>
          </x14:cfRule>
          <x14:cfRule type="expression" priority="1819" id="{4415599A-1A07-486E-B1F1-4990CF2E15D2}">
            <xm:f>VLOOKUP(Y6,Calendars!$O$1:$U$398,MATCH($X$1,Calendars!$O$1:$U$1,0),FALSE)="Holiday"</xm:f>
            <x14:dxf>
              <fill>
                <patternFill>
                  <bgColor rgb="FFFF99FF"/>
                </patternFill>
              </fill>
              <border>
                <bottom/>
              </border>
            </x14:dxf>
          </x14:cfRule>
          <xm:sqref>Y5</xm:sqref>
        </x14:conditionalFormatting>
        <x14:conditionalFormatting xmlns:xm="http://schemas.microsoft.com/office/excel/2006/main">
          <x14:cfRule type="expression" priority="1799" id="{4CF5423B-5AE0-45F8-983D-759C5D5E8C43}">
            <xm:f>AND(VLOOKUP(Z6,Calendars!$O$1:$U$398,MATCH($X$1,Calendars!$O$1:$U$1,0),FALSE)="Non Contract",$C$5&gt;0)</xm:f>
            <x14:dxf>
              <fill>
                <patternFill patternType="solid">
                  <fgColor theme="4" tint="0.79998168889431442"/>
                  <bgColor theme="8" tint="0.79995117038483843"/>
                </patternFill>
              </fill>
            </x14:dxf>
          </x14:cfRule>
          <xm:sqref>Z5:AB5</xm:sqref>
        </x14:conditionalFormatting>
        <x14:conditionalFormatting xmlns:xm="http://schemas.microsoft.com/office/excel/2006/main">
          <x14:cfRule type="expression" priority="1809" id="{EBCF15E2-FB9D-4971-A007-C66E4A457F24}">
            <xm:f>AND(VLOOKUP(Z6,Calendars!$O$1:$U$398,MATCH($X$1,Calendars!$O$1:$U$1,0),FALSE)="",Z5=0)</xm:f>
            <x14:dxf>
              <fill>
                <patternFill>
                  <bgColor theme="7" tint="0.79998168889431442"/>
                </patternFill>
              </fill>
            </x14:dxf>
          </x14:cfRule>
          <xm:sqref>Z5:AB5</xm:sqref>
        </x14:conditionalFormatting>
        <x14:conditionalFormatting xmlns:xm="http://schemas.microsoft.com/office/excel/2006/main">
          <x14:cfRule type="expression" priority="1798" id="{E4A428DC-7D3E-421F-9394-EFA59138279C}">
            <xm:f>VLOOKUP(Z6,Calendars!$O$1:$U$398,MATCH($X$1,Calendars!$O$1:$U$1,0),FALSE)="Non Contract"</xm:f>
            <x14:dxf>
              <fill>
                <patternFill patternType="lightDown"/>
              </fill>
              <border>
                <bottom/>
              </border>
            </x14:dxf>
          </x14:cfRule>
          <x14:cfRule type="expression" priority="1807" id="{151A732B-3426-4A85-A301-621FAFBCA8D8}">
            <xm:f>VLOOKUP(Z6,Calendars!$O$1:$U$398,MATCH($X$1,Calendars!$O$1:$U$1,0),FALSE)="Holiday"</xm:f>
            <x14:dxf>
              <fill>
                <patternFill>
                  <bgColor rgb="FFFF99FF"/>
                </patternFill>
              </fill>
              <border>
                <bottom/>
              </border>
            </x14:dxf>
          </x14:cfRule>
          <xm:sqref>Z5:AB5</xm:sqref>
        </x14:conditionalFormatting>
        <x14:conditionalFormatting xmlns:xm="http://schemas.microsoft.com/office/excel/2006/main">
          <x14:cfRule type="expression" priority="1787" id="{4B471DF4-0109-4F7C-A9F7-D45AA1D1C1BF}">
            <xm:f>AND(VLOOKUP(X8,Calendars!$O$1:$U$398,MATCH($X$1,Calendars!$O$1:$U$1,0),FALSE)="Non Contract",$C$5&gt;0)</xm:f>
            <x14:dxf>
              <fill>
                <patternFill patternType="solid">
                  <fgColor theme="4" tint="0.79998168889431442"/>
                  <bgColor theme="8" tint="0.79995117038483843"/>
                </patternFill>
              </fill>
            </x14:dxf>
          </x14:cfRule>
          <xm:sqref>X7</xm:sqref>
        </x14:conditionalFormatting>
        <x14:conditionalFormatting xmlns:xm="http://schemas.microsoft.com/office/excel/2006/main">
          <x14:cfRule type="expression" priority="1797" id="{3646AA00-788D-45C2-A7B4-68FB651F2BC1}">
            <xm:f>AND(VLOOKUP(X8,Calendars!$O$1:$U$398,MATCH($X$1,Calendars!$O$1:$U$1,0),FALSE)="",X7=0)</xm:f>
            <x14:dxf>
              <fill>
                <patternFill>
                  <bgColor theme="7" tint="0.79998168889431442"/>
                </patternFill>
              </fill>
            </x14:dxf>
          </x14:cfRule>
          <xm:sqref>X7</xm:sqref>
        </x14:conditionalFormatting>
        <x14:conditionalFormatting xmlns:xm="http://schemas.microsoft.com/office/excel/2006/main">
          <x14:cfRule type="expression" priority="1786" id="{A68257E4-6440-4B39-9B40-7EAA08659B6C}">
            <xm:f>VLOOKUP(X8,Calendars!$O$1:$U$398,MATCH($X$1,Calendars!$O$1:$U$1,0),FALSE)="Non Contract"</xm:f>
            <x14:dxf>
              <fill>
                <patternFill patternType="lightDown"/>
              </fill>
              <border>
                <bottom/>
              </border>
            </x14:dxf>
          </x14:cfRule>
          <x14:cfRule type="expression" priority="1795" id="{AB26FA03-9B92-4E91-A7A0-C3D4604A4722}">
            <xm:f>VLOOKUP(X8,Calendars!$O$1:$U$398,MATCH($X$1,Calendars!$O$1:$U$1,0),FALSE)="Holiday"</xm:f>
            <x14:dxf>
              <fill>
                <patternFill>
                  <bgColor rgb="FFFF99FF"/>
                </patternFill>
              </fill>
              <border>
                <bottom/>
              </border>
            </x14:dxf>
          </x14:cfRule>
          <xm:sqref>X7</xm:sqref>
        </x14:conditionalFormatting>
        <x14:conditionalFormatting xmlns:xm="http://schemas.microsoft.com/office/excel/2006/main">
          <x14:cfRule type="expression" priority="1775" id="{4A852FE1-3ADD-43C0-84CF-A48DF15FB9C0}">
            <xm:f>AND(VLOOKUP(Y8,Calendars!$O$1:$U$398,MATCH($X$1,Calendars!$O$1:$U$1,0),FALSE)="Non Contract",$C$5&gt;0)</xm:f>
            <x14:dxf>
              <fill>
                <patternFill patternType="solid">
                  <fgColor theme="4" tint="0.79998168889431442"/>
                  <bgColor theme="8" tint="0.79995117038483843"/>
                </patternFill>
              </fill>
            </x14:dxf>
          </x14:cfRule>
          <xm:sqref>Y7</xm:sqref>
        </x14:conditionalFormatting>
        <x14:conditionalFormatting xmlns:xm="http://schemas.microsoft.com/office/excel/2006/main">
          <x14:cfRule type="expression" priority="1785" id="{47F318F9-21AB-4675-8187-6CC869453C19}">
            <xm:f>AND(VLOOKUP(Y8,Calendars!$O$1:$U$398,MATCH($X$1,Calendars!$O$1:$U$1,0),FALSE)="",Y7=0)</xm:f>
            <x14:dxf>
              <fill>
                <patternFill>
                  <bgColor theme="7" tint="0.79998168889431442"/>
                </patternFill>
              </fill>
            </x14:dxf>
          </x14:cfRule>
          <xm:sqref>Y7</xm:sqref>
        </x14:conditionalFormatting>
        <x14:conditionalFormatting xmlns:xm="http://schemas.microsoft.com/office/excel/2006/main">
          <x14:cfRule type="expression" priority="1774" id="{A5CB860A-7910-4E68-BF96-E94B1223880D}">
            <xm:f>VLOOKUP(Y8,Calendars!$O$1:$U$398,MATCH($X$1,Calendars!$O$1:$U$1,0),FALSE)="Non Contract"</xm:f>
            <x14:dxf>
              <fill>
                <patternFill patternType="lightDown"/>
              </fill>
              <border>
                <bottom/>
              </border>
            </x14:dxf>
          </x14:cfRule>
          <x14:cfRule type="expression" priority="1783" id="{210A819B-DC3E-4DA9-9A5E-40B6D662F572}">
            <xm:f>VLOOKUP(Y8,Calendars!$O$1:$U$398,MATCH($X$1,Calendars!$O$1:$U$1,0),FALSE)="Holiday"</xm:f>
            <x14:dxf>
              <fill>
                <patternFill>
                  <bgColor rgb="FFFF99FF"/>
                </patternFill>
              </fill>
              <border>
                <bottom/>
              </border>
            </x14:dxf>
          </x14:cfRule>
          <xm:sqref>Y7</xm:sqref>
        </x14:conditionalFormatting>
        <x14:conditionalFormatting xmlns:xm="http://schemas.microsoft.com/office/excel/2006/main">
          <x14:cfRule type="expression" priority="1763" id="{3F8B133D-250F-4D86-BEF2-929AB5B1A23C}">
            <xm:f>AND(VLOOKUP(Z8,Calendars!$O$1:$U$398,MATCH($X$1,Calendars!$O$1:$U$1,0),FALSE)="Non Contract",$C$5&gt;0)</xm:f>
            <x14:dxf>
              <fill>
                <patternFill patternType="solid">
                  <fgColor theme="4" tint="0.79998168889431442"/>
                  <bgColor theme="8" tint="0.79995117038483843"/>
                </patternFill>
              </fill>
            </x14:dxf>
          </x14:cfRule>
          <xm:sqref>Z7:AB7</xm:sqref>
        </x14:conditionalFormatting>
        <x14:conditionalFormatting xmlns:xm="http://schemas.microsoft.com/office/excel/2006/main">
          <x14:cfRule type="expression" priority="1773" id="{08463AD2-16DC-4E84-BF82-F1DBD5CBD032}">
            <xm:f>AND(VLOOKUP(Z8,Calendars!$O$1:$U$398,MATCH($X$1,Calendars!$O$1:$U$1,0),FALSE)="",Z7=0)</xm:f>
            <x14:dxf>
              <fill>
                <patternFill>
                  <bgColor theme="7" tint="0.79998168889431442"/>
                </patternFill>
              </fill>
            </x14:dxf>
          </x14:cfRule>
          <xm:sqref>Z7:AB7</xm:sqref>
        </x14:conditionalFormatting>
        <x14:conditionalFormatting xmlns:xm="http://schemas.microsoft.com/office/excel/2006/main">
          <x14:cfRule type="expression" priority="1762" id="{85A98443-1637-4CCF-B6E5-8B419E7EEE35}">
            <xm:f>VLOOKUP(Z8,Calendars!$O$1:$U$398,MATCH($X$1,Calendars!$O$1:$U$1,0),FALSE)="Non Contract"</xm:f>
            <x14:dxf>
              <fill>
                <patternFill patternType="lightDown"/>
              </fill>
              <border>
                <bottom/>
              </border>
            </x14:dxf>
          </x14:cfRule>
          <x14:cfRule type="expression" priority="1771" id="{7A3795B3-AACA-4BC1-ACF1-96F5296D8C92}">
            <xm:f>VLOOKUP(Z8,Calendars!$O$1:$U$398,MATCH($X$1,Calendars!$O$1:$U$1,0),FALSE)="Holiday"</xm:f>
            <x14:dxf>
              <fill>
                <patternFill>
                  <bgColor rgb="FFFF99FF"/>
                </patternFill>
              </fill>
              <border>
                <bottom/>
              </border>
            </x14:dxf>
          </x14:cfRule>
          <xm:sqref>Z7:AB7</xm:sqref>
        </x14:conditionalFormatting>
        <x14:conditionalFormatting xmlns:xm="http://schemas.microsoft.com/office/excel/2006/main">
          <x14:cfRule type="expression" priority="1751" id="{C88373D5-0614-40BA-8C6D-4266B64658B9}">
            <xm:f>AND(VLOOKUP(X10,Calendars!$O$1:$U$398,MATCH($X$1,Calendars!$O$1:$U$1,0),FALSE)="Non Contract",$C$5&gt;0)</xm:f>
            <x14:dxf>
              <fill>
                <patternFill patternType="solid">
                  <fgColor theme="4" tint="0.79998168889431442"/>
                  <bgColor theme="8" tint="0.79995117038483843"/>
                </patternFill>
              </fill>
            </x14:dxf>
          </x14:cfRule>
          <xm:sqref>X9</xm:sqref>
        </x14:conditionalFormatting>
        <x14:conditionalFormatting xmlns:xm="http://schemas.microsoft.com/office/excel/2006/main">
          <x14:cfRule type="expression" priority="1761" id="{5E81A8C2-5306-4801-A681-0FAE2F44FD07}">
            <xm:f>AND(VLOOKUP(X10,Calendars!$O$1:$U$398,MATCH($X$1,Calendars!$O$1:$U$1,0),FALSE)="",X9=0)</xm:f>
            <x14:dxf>
              <fill>
                <patternFill>
                  <bgColor theme="7" tint="0.79998168889431442"/>
                </patternFill>
              </fill>
            </x14:dxf>
          </x14:cfRule>
          <xm:sqref>X9</xm:sqref>
        </x14:conditionalFormatting>
        <x14:conditionalFormatting xmlns:xm="http://schemas.microsoft.com/office/excel/2006/main">
          <x14:cfRule type="expression" priority="1750" id="{B8A531F2-2F85-4A4F-87D5-B2F6D8CF1AE4}">
            <xm:f>VLOOKUP(X10,Calendars!$O$1:$U$398,MATCH($X$1,Calendars!$O$1:$U$1,0),FALSE)="Non Contract"</xm:f>
            <x14:dxf>
              <fill>
                <patternFill patternType="lightDown"/>
              </fill>
              <border>
                <bottom/>
              </border>
            </x14:dxf>
          </x14:cfRule>
          <x14:cfRule type="expression" priority="1759" id="{A0C81665-D11F-4BDF-B5AC-F82B2C0A495A}">
            <xm:f>VLOOKUP(X10,Calendars!$O$1:$U$398,MATCH($X$1,Calendars!$O$1:$U$1,0),FALSE)="Holiday"</xm:f>
            <x14:dxf>
              <fill>
                <patternFill>
                  <bgColor rgb="FFFF99FF"/>
                </patternFill>
              </fill>
              <border>
                <bottom/>
              </border>
            </x14:dxf>
          </x14:cfRule>
          <xm:sqref>X9</xm:sqref>
        </x14:conditionalFormatting>
        <x14:conditionalFormatting xmlns:xm="http://schemas.microsoft.com/office/excel/2006/main">
          <x14:cfRule type="expression" priority="1739" id="{4E8D41C3-1BB1-4C25-B3FC-A30A577580EF}">
            <xm:f>AND(VLOOKUP(Y10,Calendars!$O$1:$U$398,MATCH($X$1,Calendars!$O$1:$U$1,0),FALSE)="Non Contract",$C$5&gt;0)</xm:f>
            <x14:dxf>
              <fill>
                <patternFill patternType="solid">
                  <fgColor theme="4" tint="0.79998168889431442"/>
                  <bgColor theme="8" tint="0.79995117038483843"/>
                </patternFill>
              </fill>
            </x14:dxf>
          </x14:cfRule>
          <xm:sqref>Y9</xm:sqref>
        </x14:conditionalFormatting>
        <x14:conditionalFormatting xmlns:xm="http://schemas.microsoft.com/office/excel/2006/main">
          <x14:cfRule type="expression" priority="1749" id="{82CFDC70-D5CE-43F9-9EEA-CB14777A15F8}">
            <xm:f>AND(VLOOKUP(Y10,Calendars!$O$1:$U$398,MATCH($X$1,Calendars!$O$1:$U$1,0),FALSE)="",Y9=0)</xm:f>
            <x14:dxf>
              <fill>
                <patternFill>
                  <bgColor theme="7" tint="0.79998168889431442"/>
                </patternFill>
              </fill>
            </x14:dxf>
          </x14:cfRule>
          <xm:sqref>Y9</xm:sqref>
        </x14:conditionalFormatting>
        <x14:conditionalFormatting xmlns:xm="http://schemas.microsoft.com/office/excel/2006/main">
          <x14:cfRule type="expression" priority="1738" id="{B50ADFF7-13CD-44DB-987E-FC213F68A142}">
            <xm:f>VLOOKUP(Y10,Calendars!$O$1:$U$398,MATCH($X$1,Calendars!$O$1:$U$1,0),FALSE)="Non Contract"</xm:f>
            <x14:dxf>
              <fill>
                <patternFill patternType="lightDown"/>
              </fill>
              <border>
                <bottom/>
              </border>
            </x14:dxf>
          </x14:cfRule>
          <x14:cfRule type="expression" priority="1747" id="{DFC42702-56CE-4468-A166-BDC20F1D4B62}">
            <xm:f>VLOOKUP(Y10,Calendars!$O$1:$U$398,MATCH($X$1,Calendars!$O$1:$U$1,0),FALSE)="Holiday"</xm:f>
            <x14:dxf>
              <fill>
                <patternFill>
                  <bgColor rgb="FFFF99FF"/>
                </patternFill>
              </fill>
              <border>
                <bottom/>
              </border>
            </x14:dxf>
          </x14:cfRule>
          <xm:sqref>Y9</xm:sqref>
        </x14:conditionalFormatting>
        <x14:conditionalFormatting xmlns:xm="http://schemas.microsoft.com/office/excel/2006/main">
          <x14:cfRule type="expression" priority="1727" id="{4A88F3C8-7F90-42B1-893C-DB9D27CBBB47}">
            <xm:f>AND(VLOOKUP(Z10,Calendars!$O$1:$U$398,MATCH($X$1,Calendars!$O$1:$U$1,0),FALSE)="Non Contract",$C$5&gt;0)</xm:f>
            <x14:dxf>
              <fill>
                <patternFill patternType="solid">
                  <fgColor theme="4" tint="0.79998168889431442"/>
                  <bgColor theme="8" tint="0.79995117038483843"/>
                </patternFill>
              </fill>
            </x14:dxf>
          </x14:cfRule>
          <xm:sqref>Z9:AB9</xm:sqref>
        </x14:conditionalFormatting>
        <x14:conditionalFormatting xmlns:xm="http://schemas.microsoft.com/office/excel/2006/main">
          <x14:cfRule type="expression" priority="1737" id="{8C87AC86-EF77-4609-9551-0D1288CDA3AB}">
            <xm:f>AND(VLOOKUP(Z10,Calendars!$O$1:$U$398,MATCH($X$1,Calendars!$O$1:$U$1,0),FALSE)="",Z9=0)</xm:f>
            <x14:dxf>
              <fill>
                <patternFill>
                  <bgColor theme="7" tint="0.79998168889431442"/>
                </patternFill>
              </fill>
            </x14:dxf>
          </x14:cfRule>
          <xm:sqref>Z9:AB9</xm:sqref>
        </x14:conditionalFormatting>
        <x14:conditionalFormatting xmlns:xm="http://schemas.microsoft.com/office/excel/2006/main">
          <x14:cfRule type="expression" priority="1726" id="{BD2DB3FA-DE59-4407-B976-AAEB26044A48}">
            <xm:f>VLOOKUP(Z10,Calendars!$O$1:$U$398,MATCH($X$1,Calendars!$O$1:$U$1,0),FALSE)="Non Contract"</xm:f>
            <x14:dxf>
              <fill>
                <patternFill patternType="lightDown"/>
              </fill>
              <border>
                <bottom/>
              </border>
            </x14:dxf>
          </x14:cfRule>
          <x14:cfRule type="expression" priority="1735" id="{2C0019D5-0521-425A-B9E3-4A8C4EEF7C3F}">
            <xm:f>VLOOKUP(Z10,Calendars!$O$1:$U$398,MATCH($X$1,Calendars!$O$1:$U$1,0),FALSE)="Holiday"</xm:f>
            <x14:dxf>
              <fill>
                <patternFill>
                  <bgColor rgb="FFFF99FF"/>
                </patternFill>
              </fill>
              <border>
                <bottom/>
              </border>
            </x14:dxf>
          </x14:cfRule>
          <xm:sqref>Z9:AB9</xm:sqref>
        </x14:conditionalFormatting>
        <x14:conditionalFormatting xmlns:xm="http://schemas.microsoft.com/office/excel/2006/main">
          <x14:cfRule type="expression" priority="1715" id="{2F139449-85BB-470C-8462-7FEADE89D80A}">
            <xm:f>AND(VLOOKUP(X12,Calendars!$O$1:$U$398,MATCH($X$1,Calendars!$O$1:$U$1,0),FALSE)="Non Contract",$C$5&gt;0)</xm:f>
            <x14:dxf>
              <fill>
                <patternFill patternType="solid">
                  <fgColor theme="4" tint="0.79998168889431442"/>
                  <bgColor theme="8" tint="0.79995117038483843"/>
                </patternFill>
              </fill>
            </x14:dxf>
          </x14:cfRule>
          <xm:sqref>X11</xm:sqref>
        </x14:conditionalFormatting>
        <x14:conditionalFormatting xmlns:xm="http://schemas.microsoft.com/office/excel/2006/main">
          <x14:cfRule type="expression" priority="1725" id="{780F55B3-A852-4FA3-B5C7-89977FBFF07C}">
            <xm:f>AND(VLOOKUP(X12,Calendars!$O$1:$U$398,MATCH($X$1,Calendars!$O$1:$U$1,0),FALSE)="",X11=0)</xm:f>
            <x14:dxf>
              <fill>
                <patternFill>
                  <bgColor theme="7" tint="0.79998168889431442"/>
                </patternFill>
              </fill>
            </x14:dxf>
          </x14:cfRule>
          <xm:sqref>X11</xm:sqref>
        </x14:conditionalFormatting>
        <x14:conditionalFormatting xmlns:xm="http://schemas.microsoft.com/office/excel/2006/main">
          <x14:cfRule type="expression" priority="1714" id="{31B8C85A-18C1-4E3A-AA23-822B873B9392}">
            <xm:f>VLOOKUP(X12,Calendars!$O$1:$U$398,MATCH($X$1,Calendars!$O$1:$U$1,0),FALSE)="Non Contract"</xm:f>
            <x14:dxf>
              <fill>
                <patternFill patternType="lightDown"/>
              </fill>
              <border>
                <bottom/>
              </border>
            </x14:dxf>
          </x14:cfRule>
          <x14:cfRule type="expression" priority="1723" id="{3E2B4B0B-5219-4E48-83D7-8C187BF1E834}">
            <xm:f>VLOOKUP(X12,Calendars!$O$1:$U$398,MATCH($X$1,Calendars!$O$1:$U$1,0),FALSE)="Holiday"</xm:f>
            <x14:dxf>
              <fill>
                <patternFill>
                  <bgColor rgb="FFFF99FF"/>
                </patternFill>
              </fill>
              <border>
                <bottom/>
              </border>
            </x14:dxf>
          </x14:cfRule>
          <xm:sqref>X11</xm:sqref>
        </x14:conditionalFormatting>
        <x14:conditionalFormatting xmlns:xm="http://schemas.microsoft.com/office/excel/2006/main">
          <x14:cfRule type="expression" priority="1703" id="{695F0651-B2F9-4ABB-9A67-08A1084F523D}">
            <xm:f>AND(VLOOKUP(Y12,Calendars!$O$1:$U$398,MATCH($X$1,Calendars!$O$1:$U$1,0),FALSE)="Non Contract",$C$5&gt;0)</xm:f>
            <x14:dxf>
              <fill>
                <patternFill patternType="solid">
                  <fgColor theme="4" tint="0.79998168889431442"/>
                  <bgColor theme="8" tint="0.79995117038483843"/>
                </patternFill>
              </fill>
            </x14:dxf>
          </x14:cfRule>
          <xm:sqref>Y11</xm:sqref>
        </x14:conditionalFormatting>
        <x14:conditionalFormatting xmlns:xm="http://schemas.microsoft.com/office/excel/2006/main">
          <x14:cfRule type="expression" priority="1713" id="{5C4017BA-E931-49C1-99B0-830DF1BA1801}">
            <xm:f>AND(VLOOKUP(Y12,Calendars!$O$1:$U$398,MATCH($X$1,Calendars!$O$1:$U$1,0),FALSE)="",Y11=0)</xm:f>
            <x14:dxf>
              <fill>
                <patternFill>
                  <bgColor theme="7" tint="0.79998168889431442"/>
                </patternFill>
              </fill>
            </x14:dxf>
          </x14:cfRule>
          <xm:sqref>Y11</xm:sqref>
        </x14:conditionalFormatting>
        <x14:conditionalFormatting xmlns:xm="http://schemas.microsoft.com/office/excel/2006/main">
          <x14:cfRule type="expression" priority="1702" id="{BED390E9-5C90-4F50-8DF0-54167A72A344}">
            <xm:f>VLOOKUP(Y12,Calendars!$O$1:$U$398,MATCH($X$1,Calendars!$O$1:$U$1,0),FALSE)="Non Contract"</xm:f>
            <x14:dxf>
              <fill>
                <patternFill patternType="lightDown"/>
              </fill>
              <border>
                <bottom/>
              </border>
            </x14:dxf>
          </x14:cfRule>
          <x14:cfRule type="expression" priority="1711" id="{F1A71C4F-19A7-45E8-973C-58BA6E1B9CE9}">
            <xm:f>VLOOKUP(Y12,Calendars!$O$1:$U$398,MATCH($X$1,Calendars!$O$1:$U$1,0),FALSE)="Holiday"</xm:f>
            <x14:dxf>
              <fill>
                <patternFill>
                  <bgColor rgb="FFFF99FF"/>
                </patternFill>
              </fill>
              <border>
                <bottom/>
              </border>
            </x14:dxf>
          </x14:cfRule>
          <xm:sqref>Y11</xm:sqref>
        </x14:conditionalFormatting>
        <x14:conditionalFormatting xmlns:xm="http://schemas.microsoft.com/office/excel/2006/main">
          <x14:cfRule type="expression" priority="1691" id="{277E9295-59CF-4208-B5D0-3DBFC1857843}">
            <xm:f>AND(VLOOKUP(Z12,Calendars!$O$1:$U$398,MATCH($X$1,Calendars!$O$1:$U$1,0),FALSE)="Non Contract",$C$5&gt;0)</xm:f>
            <x14:dxf>
              <fill>
                <patternFill patternType="solid">
                  <fgColor theme="4" tint="0.79998168889431442"/>
                  <bgColor theme="8" tint="0.79995117038483843"/>
                </patternFill>
              </fill>
            </x14:dxf>
          </x14:cfRule>
          <xm:sqref>Z11:AB11</xm:sqref>
        </x14:conditionalFormatting>
        <x14:conditionalFormatting xmlns:xm="http://schemas.microsoft.com/office/excel/2006/main">
          <x14:cfRule type="expression" priority="1701" id="{5B9738A0-118B-4761-A1DF-86C4AE97403A}">
            <xm:f>AND(VLOOKUP(Z12,Calendars!$O$1:$U$398,MATCH($X$1,Calendars!$O$1:$U$1,0),FALSE)="",Z11=0)</xm:f>
            <x14:dxf>
              <fill>
                <patternFill>
                  <bgColor theme="7" tint="0.79998168889431442"/>
                </patternFill>
              </fill>
            </x14:dxf>
          </x14:cfRule>
          <xm:sqref>Z11:AB11</xm:sqref>
        </x14:conditionalFormatting>
        <x14:conditionalFormatting xmlns:xm="http://schemas.microsoft.com/office/excel/2006/main">
          <x14:cfRule type="expression" priority="1690" id="{5BC62118-033D-434B-A054-B323B28D55F0}">
            <xm:f>VLOOKUP(Z12,Calendars!$O$1:$U$398,MATCH($X$1,Calendars!$O$1:$U$1,0),FALSE)="Non Contract"</xm:f>
            <x14:dxf>
              <fill>
                <patternFill patternType="lightDown"/>
              </fill>
              <border>
                <bottom/>
              </border>
            </x14:dxf>
          </x14:cfRule>
          <x14:cfRule type="expression" priority="1699" id="{3321E7B5-005A-4834-B881-610A8EDA683F}">
            <xm:f>VLOOKUP(Z12,Calendars!$O$1:$U$398,MATCH($X$1,Calendars!$O$1:$U$1,0),FALSE)="Holiday"</xm:f>
            <x14:dxf>
              <fill>
                <patternFill>
                  <bgColor rgb="FFFF99FF"/>
                </patternFill>
              </fill>
              <border>
                <bottom/>
              </border>
            </x14:dxf>
          </x14:cfRule>
          <xm:sqref>Z11:AB11</xm:sqref>
        </x14:conditionalFormatting>
        <x14:conditionalFormatting xmlns:xm="http://schemas.microsoft.com/office/excel/2006/main">
          <x14:cfRule type="expression" priority="1679" id="{8C200BB4-9E68-4316-A15D-6EBE6B5FB9A0}">
            <xm:f>AND(VLOOKUP(X14,Calendars!$O$1:$U$398,MATCH($X$1,Calendars!$O$1:$U$1,0),FALSE)="Non Contract",$C$5&gt;0)</xm:f>
            <x14:dxf>
              <fill>
                <patternFill patternType="solid">
                  <fgColor theme="4" tint="0.79998168889431442"/>
                  <bgColor theme="8" tint="0.79995117038483843"/>
                </patternFill>
              </fill>
            </x14:dxf>
          </x14:cfRule>
          <xm:sqref>X13</xm:sqref>
        </x14:conditionalFormatting>
        <x14:conditionalFormatting xmlns:xm="http://schemas.microsoft.com/office/excel/2006/main">
          <x14:cfRule type="expression" priority="1689" id="{CE41F49E-8782-48D8-8CD4-B2D46A3F8FD2}">
            <xm:f>AND(VLOOKUP(X14,Calendars!$O$1:$U$398,MATCH($X$1,Calendars!$O$1:$U$1,0),FALSE)="",X13=0)</xm:f>
            <x14:dxf>
              <fill>
                <patternFill>
                  <bgColor theme="7" tint="0.79998168889431442"/>
                </patternFill>
              </fill>
            </x14:dxf>
          </x14:cfRule>
          <xm:sqref>X13</xm:sqref>
        </x14:conditionalFormatting>
        <x14:conditionalFormatting xmlns:xm="http://schemas.microsoft.com/office/excel/2006/main">
          <x14:cfRule type="expression" priority="1678" id="{7EBB28D1-494F-4AF5-9FD6-AA9F5E0DE397}">
            <xm:f>VLOOKUP(X14,Calendars!$O$1:$U$398,MATCH($X$1,Calendars!$O$1:$U$1,0),FALSE)="Non Contract"</xm:f>
            <x14:dxf>
              <fill>
                <patternFill patternType="lightDown"/>
              </fill>
              <border>
                <bottom/>
              </border>
            </x14:dxf>
          </x14:cfRule>
          <x14:cfRule type="expression" priority="1687" id="{FB5213EE-B4E9-406C-9761-036BDA65F018}">
            <xm:f>VLOOKUP(X14,Calendars!$O$1:$U$398,MATCH($X$1,Calendars!$O$1:$U$1,0),FALSE)="Holiday"</xm:f>
            <x14:dxf>
              <fill>
                <patternFill>
                  <bgColor rgb="FFFF99FF"/>
                </patternFill>
              </fill>
              <border>
                <bottom/>
              </border>
            </x14:dxf>
          </x14:cfRule>
          <xm:sqref>X13</xm:sqref>
        </x14:conditionalFormatting>
        <x14:conditionalFormatting xmlns:xm="http://schemas.microsoft.com/office/excel/2006/main">
          <x14:cfRule type="expression" priority="1667" id="{B1AB7CA2-B6E3-4A9A-B8E6-38EB5E8BA638}">
            <xm:f>AND(VLOOKUP(Y14,Calendars!$O$1:$U$398,MATCH($X$1,Calendars!$O$1:$U$1,0),FALSE)="Non Contract",$C$5&gt;0)</xm:f>
            <x14:dxf>
              <fill>
                <patternFill patternType="solid">
                  <fgColor theme="4" tint="0.79998168889431442"/>
                  <bgColor theme="8" tint="0.79995117038483843"/>
                </patternFill>
              </fill>
            </x14:dxf>
          </x14:cfRule>
          <xm:sqref>Y13</xm:sqref>
        </x14:conditionalFormatting>
        <x14:conditionalFormatting xmlns:xm="http://schemas.microsoft.com/office/excel/2006/main">
          <x14:cfRule type="expression" priority="1677" id="{4BD7C7F5-6345-4F6C-BD40-42E9E7FAD5FF}">
            <xm:f>AND(VLOOKUP(Y14,Calendars!$O$1:$U$398,MATCH($X$1,Calendars!$O$1:$U$1,0),FALSE)="",Y13=0)</xm:f>
            <x14:dxf>
              <fill>
                <patternFill>
                  <bgColor theme="7" tint="0.79998168889431442"/>
                </patternFill>
              </fill>
            </x14:dxf>
          </x14:cfRule>
          <xm:sqref>Y13</xm:sqref>
        </x14:conditionalFormatting>
        <x14:conditionalFormatting xmlns:xm="http://schemas.microsoft.com/office/excel/2006/main">
          <x14:cfRule type="expression" priority="1666" id="{61A9CEB9-6160-4C10-B9F2-FAC252905AFC}">
            <xm:f>VLOOKUP(Y14,Calendars!$O$1:$U$398,MATCH($X$1,Calendars!$O$1:$U$1,0),FALSE)="Non Contract"</xm:f>
            <x14:dxf>
              <fill>
                <patternFill patternType="lightDown"/>
              </fill>
              <border>
                <bottom/>
              </border>
            </x14:dxf>
          </x14:cfRule>
          <x14:cfRule type="expression" priority="1675" id="{3E5AC1F0-774B-4A91-A5F4-F67B044BAED5}">
            <xm:f>VLOOKUP(Y14,Calendars!$O$1:$U$398,MATCH($X$1,Calendars!$O$1:$U$1,0),FALSE)="Holiday"</xm:f>
            <x14:dxf>
              <fill>
                <patternFill>
                  <bgColor rgb="FFFF99FF"/>
                </patternFill>
              </fill>
              <border>
                <bottom/>
              </border>
            </x14:dxf>
          </x14:cfRule>
          <xm:sqref>Y13</xm:sqref>
        </x14:conditionalFormatting>
        <x14:conditionalFormatting xmlns:xm="http://schemas.microsoft.com/office/excel/2006/main">
          <x14:cfRule type="expression" priority="1655" id="{86F33B9B-7969-4713-B1E1-6854E4B033E3}">
            <xm:f>AND(VLOOKUP(Z14,Calendars!$O$1:$U$398,MATCH($X$1,Calendars!$O$1:$U$1,0),FALSE)="Non Contract",$C$5&gt;0)</xm:f>
            <x14:dxf>
              <fill>
                <patternFill patternType="solid">
                  <fgColor theme="4" tint="0.79998168889431442"/>
                  <bgColor theme="8" tint="0.79995117038483843"/>
                </patternFill>
              </fill>
            </x14:dxf>
          </x14:cfRule>
          <xm:sqref>Z13:AB13</xm:sqref>
        </x14:conditionalFormatting>
        <x14:conditionalFormatting xmlns:xm="http://schemas.microsoft.com/office/excel/2006/main">
          <x14:cfRule type="expression" priority="1665" id="{249E4411-ADDE-4B64-A888-40C9AE761E0F}">
            <xm:f>AND(VLOOKUP(Z14,Calendars!$O$1:$U$398,MATCH($X$1,Calendars!$O$1:$U$1,0),FALSE)="",Z13=0)</xm:f>
            <x14:dxf>
              <fill>
                <patternFill>
                  <bgColor theme="7" tint="0.79998168889431442"/>
                </patternFill>
              </fill>
            </x14:dxf>
          </x14:cfRule>
          <xm:sqref>Z13:AB13</xm:sqref>
        </x14:conditionalFormatting>
        <x14:conditionalFormatting xmlns:xm="http://schemas.microsoft.com/office/excel/2006/main">
          <x14:cfRule type="expression" priority="1654" id="{B92AF4C7-F698-4BD2-8905-DBDB76980972}">
            <xm:f>VLOOKUP(Z14,Calendars!$O$1:$U$398,MATCH($X$1,Calendars!$O$1:$U$1,0),FALSE)="Non Contract"</xm:f>
            <x14:dxf>
              <fill>
                <patternFill patternType="lightDown"/>
              </fill>
              <border>
                <bottom/>
              </border>
            </x14:dxf>
          </x14:cfRule>
          <x14:cfRule type="expression" priority="1663" id="{4B32D8A9-8295-48F2-BFC3-53940FA7E78D}">
            <xm:f>VLOOKUP(Z14,Calendars!$O$1:$U$398,MATCH($X$1,Calendars!$O$1:$U$1,0),FALSE)="Holiday"</xm:f>
            <x14:dxf>
              <fill>
                <patternFill>
                  <bgColor rgb="FFFF99FF"/>
                </patternFill>
              </fill>
              <border>
                <bottom/>
              </border>
            </x14:dxf>
          </x14:cfRule>
          <xm:sqref>Z13:AB13</xm:sqref>
        </x14:conditionalFormatting>
        <x14:conditionalFormatting xmlns:xm="http://schemas.microsoft.com/office/excel/2006/main">
          <x14:cfRule type="expression" priority="1643" id="{8BEF866E-3AF1-4C69-8F45-88EF80A796CC}">
            <xm:f>AND(VLOOKUP(C17,Calendars!$O$1:$U$398,MATCH($X$1,Calendars!$O$1:$U$1,0),FALSE)="Non Contract",$C$5&gt;0)</xm:f>
            <x14:dxf>
              <fill>
                <patternFill patternType="solid">
                  <fgColor theme="4" tint="0.79998168889431442"/>
                  <bgColor theme="8" tint="0.79995117038483843"/>
                </patternFill>
              </fill>
            </x14:dxf>
          </x14:cfRule>
          <xm:sqref>C16</xm:sqref>
        </x14:conditionalFormatting>
        <x14:conditionalFormatting xmlns:xm="http://schemas.microsoft.com/office/excel/2006/main">
          <x14:cfRule type="expression" priority="1653" id="{219095B0-D881-4592-ABE0-984EDEB9FDF1}">
            <xm:f>AND(VLOOKUP(C17,Calendars!$O$1:$U$398,MATCH($X$1,Calendars!$O$1:$U$1,0),FALSE)="",C16=0)</xm:f>
            <x14:dxf>
              <fill>
                <patternFill>
                  <bgColor theme="7" tint="0.79998168889431442"/>
                </patternFill>
              </fill>
            </x14:dxf>
          </x14:cfRule>
          <xm:sqref>C16</xm:sqref>
        </x14:conditionalFormatting>
        <x14:conditionalFormatting xmlns:xm="http://schemas.microsoft.com/office/excel/2006/main">
          <x14:cfRule type="expression" priority="1642" id="{4EF37051-ACCD-44CD-917F-15D801DC9924}">
            <xm:f>VLOOKUP(C17,Calendars!$O$1:$U$398,MATCH($X$1,Calendars!$O$1:$U$1,0),FALSE)="Non Contract"</xm:f>
            <x14:dxf>
              <fill>
                <patternFill patternType="lightDown"/>
              </fill>
              <border>
                <bottom/>
              </border>
            </x14:dxf>
          </x14:cfRule>
          <x14:cfRule type="expression" priority="1651" id="{AEFC1C43-90CE-4DC6-873E-A3CEAE062238}">
            <xm:f>VLOOKUP(C17,Calendars!$O$1:$U$398,MATCH($X$1,Calendars!$O$1:$U$1,0),FALSE)="Holiday"</xm:f>
            <x14:dxf>
              <fill>
                <patternFill>
                  <bgColor rgb="FFFF99FF"/>
                </patternFill>
              </fill>
              <border>
                <bottom/>
              </border>
            </x14:dxf>
          </x14:cfRule>
          <xm:sqref>C16</xm:sqref>
        </x14:conditionalFormatting>
        <x14:conditionalFormatting xmlns:xm="http://schemas.microsoft.com/office/excel/2006/main">
          <x14:cfRule type="expression" priority="1631" id="{704A4D54-8831-4A37-B85C-BE3AB3715DE1}">
            <xm:f>AND(VLOOKUP(D17,Calendars!$O$1:$U$398,MATCH($X$1,Calendars!$O$1:$U$1,0),FALSE)="Non Contract",$C$5&gt;0)</xm:f>
            <x14:dxf>
              <fill>
                <patternFill patternType="solid">
                  <fgColor theme="4" tint="0.79998168889431442"/>
                  <bgColor theme="8" tint="0.79995117038483843"/>
                </patternFill>
              </fill>
            </x14:dxf>
          </x14:cfRule>
          <xm:sqref>D16</xm:sqref>
        </x14:conditionalFormatting>
        <x14:conditionalFormatting xmlns:xm="http://schemas.microsoft.com/office/excel/2006/main">
          <x14:cfRule type="expression" priority="1641" id="{F08619FF-B240-405F-82B1-06D6842F6F31}">
            <xm:f>AND(VLOOKUP(D17,Calendars!$O$1:$U$398,MATCH($X$1,Calendars!$O$1:$U$1,0),FALSE)="",D16=0)</xm:f>
            <x14:dxf>
              <fill>
                <patternFill>
                  <bgColor theme="7" tint="0.79998168889431442"/>
                </patternFill>
              </fill>
            </x14:dxf>
          </x14:cfRule>
          <xm:sqref>D16</xm:sqref>
        </x14:conditionalFormatting>
        <x14:conditionalFormatting xmlns:xm="http://schemas.microsoft.com/office/excel/2006/main">
          <x14:cfRule type="expression" priority="1630" id="{5C4CC5D5-D7ED-4E60-9946-EE3F5747A460}">
            <xm:f>VLOOKUP(D17,Calendars!$O$1:$U$398,MATCH($X$1,Calendars!$O$1:$U$1,0),FALSE)="Non Contract"</xm:f>
            <x14:dxf>
              <fill>
                <patternFill patternType="lightDown"/>
              </fill>
              <border>
                <bottom/>
              </border>
            </x14:dxf>
          </x14:cfRule>
          <x14:cfRule type="expression" priority="1639" id="{640D8C45-7521-41EA-8C2A-BBADED62BA0D}">
            <xm:f>VLOOKUP(D17,Calendars!$O$1:$U$398,MATCH($X$1,Calendars!$O$1:$U$1,0),FALSE)="Holiday"</xm:f>
            <x14:dxf>
              <fill>
                <patternFill>
                  <bgColor rgb="FFFF99FF"/>
                </patternFill>
              </fill>
              <border>
                <bottom/>
              </border>
            </x14:dxf>
          </x14:cfRule>
          <xm:sqref>D16</xm:sqref>
        </x14:conditionalFormatting>
        <x14:conditionalFormatting xmlns:xm="http://schemas.microsoft.com/office/excel/2006/main">
          <x14:cfRule type="expression" priority="1619" id="{16B055AD-9D3E-461C-AACC-10B192EFA2E4}">
            <xm:f>AND(VLOOKUP(E17,Calendars!$O$1:$U$398,MATCH($X$1,Calendars!$O$1:$U$1,0),FALSE)="Non Contract",$C$5&gt;0)</xm:f>
            <x14:dxf>
              <fill>
                <patternFill patternType="solid">
                  <fgColor theme="4" tint="0.79998168889431442"/>
                  <bgColor theme="8" tint="0.79995117038483843"/>
                </patternFill>
              </fill>
            </x14:dxf>
          </x14:cfRule>
          <xm:sqref>E16:G16</xm:sqref>
        </x14:conditionalFormatting>
        <x14:conditionalFormatting xmlns:xm="http://schemas.microsoft.com/office/excel/2006/main">
          <x14:cfRule type="expression" priority="1629" id="{3B96EE47-3604-4A63-A818-8B4A793D9188}">
            <xm:f>AND(VLOOKUP(E17,Calendars!$O$1:$U$398,MATCH($X$1,Calendars!$O$1:$U$1,0),FALSE)="",E16=0)</xm:f>
            <x14:dxf>
              <fill>
                <patternFill>
                  <bgColor theme="7" tint="0.79998168889431442"/>
                </patternFill>
              </fill>
            </x14:dxf>
          </x14:cfRule>
          <xm:sqref>E16:G16</xm:sqref>
        </x14:conditionalFormatting>
        <x14:conditionalFormatting xmlns:xm="http://schemas.microsoft.com/office/excel/2006/main">
          <x14:cfRule type="expression" priority="1618" id="{06D0B4BF-F109-4893-AFF6-F822445E8E4C}">
            <xm:f>VLOOKUP(E17,Calendars!$O$1:$U$398,MATCH($X$1,Calendars!$O$1:$U$1,0),FALSE)="Non Contract"</xm:f>
            <x14:dxf>
              <fill>
                <patternFill patternType="lightDown"/>
              </fill>
              <border>
                <bottom/>
              </border>
            </x14:dxf>
          </x14:cfRule>
          <x14:cfRule type="expression" priority="1627" id="{4DF163BA-A2C4-482F-842F-E225AE2A9555}">
            <xm:f>VLOOKUP(E17,Calendars!$O$1:$U$398,MATCH($X$1,Calendars!$O$1:$U$1,0),FALSE)="Holiday"</xm:f>
            <x14:dxf>
              <fill>
                <patternFill>
                  <bgColor rgb="FFFF99FF"/>
                </patternFill>
              </fill>
              <border>
                <bottom/>
              </border>
            </x14:dxf>
          </x14:cfRule>
          <xm:sqref>E16:G16</xm:sqref>
        </x14:conditionalFormatting>
        <x14:conditionalFormatting xmlns:xm="http://schemas.microsoft.com/office/excel/2006/main">
          <x14:cfRule type="expression" priority="1607" id="{4D50512D-24D4-4548-B5FC-2A478512EA78}">
            <xm:f>AND(VLOOKUP(C19,Calendars!$O$1:$U$398,MATCH($X$1,Calendars!$O$1:$U$1,0),FALSE)="Non Contract",$C$5&gt;0)</xm:f>
            <x14:dxf>
              <fill>
                <patternFill patternType="solid">
                  <fgColor theme="4" tint="0.79998168889431442"/>
                  <bgColor theme="8" tint="0.79995117038483843"/>
                </patternFill>
              </fill>
            </x14:dxf>
          </x14:cfRule>
          <xm:sqref>C18</xm:sqref>
        </x14:conditionalFormatting>
        <x14:conditionalFormatting xmlns:xm="http://schemas.microsoft.com/office/excel/2006/main">
          <x14:cfRule type="expression" priority="1617" id="{F0A2104A-B851-4E3A-81C3-3FCC6C2CB4C0}">
            <xm:f>AND(VLOOKUP(C19,Calendars!$O$1:$U$398,MATCH($X$1,Calendars!$O$1:$U$1,0),FALSE)="",C18=0)</xm:f>
            <x14:dxf>
              <fill>
                <patternFill>
                  <bgColor theme="7" tint="0.79998168889431442"/>
                </patternFill>
              </fill>
            </x14:dxf>
          </x14:cfRule>
          <xm:sqref>C18</xm:sqref>
        </x14:conditionalFormatting>
        <x14:conditionalFormatting xmlns:xm="http://schemas.microsoft.com/office/excel/2006/main">
          <x14:cfRule type="expression" priority="1606" id="{595381DD-3AED-420B-A55D-AAC2AD4FAC9E}">
            <xm:f>VLOOKUP(C19,Calendars!$O$1:$U$398,MATCH($X$1,Calendars!$O$1:$U$1,0),FALSE)="Non Contract"</xm:f>
            <x14:dxf>
              <fill>
                <patternFill patternType="lightDown"/>
              </fill>
              <border>
                <bottom/>
              </border>
            </x14:dxf>
          </x14:cfRule>
          <x14:cfRule type="expression" priority="1615" id="{EC590AC4-0D02-496A-A1D3-1A5F206B9042}">
            <xm:f>VLOOKUP(C19,Calendars!$O$1:$U$398,MATCH($X$1,Calendars!$O$1:$U$1,0),FALSE)="Holiday"</xm:f>
            <x14:dxf>
              <fill>
                <patternFill>
                  <bgColor rgb="FFFF99FF"/>
                </patternFill>
              </fill>
              <border>
                <bottom/>
              </border>
            </x14:dxf>
          </x14:cfRule>
          <xm:sqref>C18</xm:sqref>
        </x14:conditionalFormatting>
        <x14:conditionalFormatting xmlns:xm="http://schemas.microsoft.com/office/excel/2006/main">
          <x14:cfRule type="expression" priority="1595" id="{F758B066-D894-4BA2-825C-55172C813FA9}">
            <xm:f>AND(VLOOKUP(D19,Calendars!$O$1:$U$398,MATCH($X$1,Calendars!$O$1:$U$1,0),FALSE)="Non Contract",$C$5&gt;0)</xm:f>
            <x14:dxf>
              <fill>
                <patternFill patternType="solid">
                  <fgColor theme="4" tint="0.79998168889431442"/>
                  <bgColor theme="8" tint="0.79995117038483843"/>
                </patternFill>
              </fill>
            </x14:dxf>
          </x14:cfRule>
          <xm:sqref>D18</xm:sqref>
        </x14:conditionalFormatting>
        <x14:conditionalFormatting xmlns:xm="http://schemas.microsoft.com/office/excel/2006/main">
          <x14:cfRule type="expression" priority="1605" id="{8D07E7F3-89E6-4CE2-A96C-89B23E7A54A9}">
            <xm:f>AND(VLOOKUP(D19,Calendars!$O$1:$U$398,MATCH($X$1,Calendars!$O$1:$U$1,0),FALSE)="",D18=0)</xm:f>
            <x14:dxf>
              <fill>
                <patternFill>
                  <bgColor theme="7" tint="0.79998168889431442"/>
                </patternFill>
              </fill>
            </x14:dxf>
          </x14:cfRule>
          <xm:sqref>D18</xm:sqref>
        </x14:conditionalFormatting>
        <x14:conditionalFormatting xmlns:xm="http://schemas.microsoft.com/office/excel/2006/main">
          <x14:cfRule type="expression" priority="1594" id="{692848E5-20E0-4625-BFC4-5D241FFF2D15}">
            <xm:f>VLOOKUP(D19,Calendars!$O$1:$U$398,MATCH($X$1,Calendars!$O$1:$U$1,0),FALSE)="Non Contract"</xm:f>
            <x14:dxf>
              <fill>
                <patternFill patternType="lightDown"/>
              </fill>
              <border>
                <bottom/>
              </border>
            </x14:dxf>
          </x14:cfRule>
          <x14:cfRule type="expression" priority="1603" id="{34D3312E-B02B-4559-B781-24500F3BEA40}">
            <xm:f>VLOOKUP(D19,Calendars!$O$1:$U$398,MATCH($X$1,Calendars!$O$1:$U$1,0),FALSE)="Holiday"</xm:f>
            <x14:dxf>
              <fill>
                <patternFill>
                  <bgColor rgb="FFFF99FF"/>
                </patternFill>
              </fill>
              <border>
                <bottom/>
              </border>
            </x14:dxf>
          </x14:cfRule>
          <xm:sqref>D18</xm:sqref>
        </x14:conditionalFormatting>
        <x14:conditionalFormatting xmlns:xm="http://schemas.microsoft.com/office/excel/2006/main">
          <x14:cfRule type="expression" priority="1583" id="{05A6AAC9-EBD2-40CC-A6CB-FB6E24B90AE8}">
            <xm:f>AND(VLOOKUP(E19,Calendars!$O$1:$U$398,MATCH($X$1,Calendars!$O$1:$U$1,0),FALSE)="Non Contract",$C$5&gt;0)</xm:f>
            <x14:dxf>
              <fill>
                <patternFill patternType="solid">
                  <fgColor theme="4" tint="0.79998168889431442"/>
                  <bgColor theme="8" tint="0.79995117038483843"/>
                </patternFill>
              </fill>
            </x14:dxf>
          </x14:cfRule>
          <xm:sqref>E18:G18</xm:sqref>
        </x14:conditionalFormatting>
        <x14:conditionalFormatting xmlns:xm="http://schemas.microsoft.com/office/excel/2006/main">
          <x14:cfRule type="expression" priority="1593" id="{FC30DB05-9C4C-4D9E-9B4A-CF9969DE548F}">
            <xm:f>AND(VLOOKUP(E19,Calendars!$O$1:$U$398,MATCH($X$1,Calendars!$O$1:$U$1,0),FALSE)="",E18=0)</xm:f>
            <x14:dxf>
              <fill>
                <patternFill>
                  <bgColor theme="7" tint="0.79998168889431442"/>
                </patternFill>
              </fill>
            </x14:dxf>
          </x14:cfRule>
          <xm:sqref>E18:G18</xm:sqref>
        </x14:conditionalFormatting>
        <x14:conditionalFormatting xmlns:xm="http://schemas.microsoft.com/office/excel/2006/main">
          <x14:cfRule type="expression" priority="1582" id="{7D2D7810-2E56-4ADF-B576-34BAF27F2FA9}">
            <xm:f>VLOOKUP(E19,Calendars!$O$1:$U$398,MATCH($X$1,Calendars!$O$1:$U$1,0),FALSE)="Non Contract"</xm:f>
            <x14:dxf>
              <fill>
                <patternFill patternType="lightDown"/>
              </fill>
              <border>
                <bottom/>
              </border>
            </x14:dxf>
          </x14:cfRule>
          <x14:cfRule type="expression" priority="1591" id="{0A15A6C9-62D7-46AE-87A6-4AD9D930CB1E}">
            <xm:f>VLOOKUP(E19,Calendars!$O$1:$U$398,MATCH($X$1,Calendars!$O$1:$U$1,0),FALSE)="Holiday"</xm:f>
            <x14:dxf>
              <fill>
                <patternFill>
                  <bgColor rgb="FFFF99FF"/>
                </patternFill>
              </fill>
              <border>
                <bottom/>
              </border>
            </x14:dxf>
          </x14:cfRule>
          <xm:sqref>E18:G18</xm:sqref>
        </x14:conditionalFormatting>
        <x14:conditionalFormatting xmlns:xm="http://schemas.microsoft.com/office/excel/2006/main">
          <x14:cfRule type="expression" priority="1571" id="{AA48D4BE-E478-47ED-8237-96A767B9BAA4}">
            <xm:f>AND(VLOOKUP(C21,Calendars!$O$1:$U$398,MATCH($X$1,Calendars!$O$1:$U$1,0),FALSE)="Non Contract",$C$5&gt;0)</xm:f>
            <x14:dxf>
              <fill>
                <patternFill patternType="solid">
                  <fgColor theme="4" tint="0.79998168889431442"/>
                  <bgColor theme="8" tint="0.79995117038483843"/>
                </patternFill>
              </fill>
            </x14:dxf>
          </x14:cfRule>
          <xm:sqref>C20</xm:sqref>
        </x14:conditionalFormatting>
        <x14:conditionalFormatting xmlns:xm="http://schemas.microsoft.com/office/excel/2006/main">
          <x14:cfRule type="expression" priority="1581" id="{8F222152-60B4-499B-827E-3C286FF0E193}">
            <xm:f>AND(VLOOKUP(C21,Calendars!$O$1:$U$398,MATCH($X$1,Calendars!$O$1:$U$1,0),FALSE)="",C20=0)</xm:f>
            <x14:dxf>
              <fill>
                <patternFill>
                  <bgColor theme="7" tint="0.79998168889431442"/>
                </patternFill>
              </fill>
            </x14:dxf>
          </x14:cfRule>
          <xm:sqref>C20</xm:sqref>
        </x14:conditionalFormatting>
        <x14:conditionalFormatting xmlns:xm="http://schemas.microsoft.com/office/excel/2006/main">
          <x14:cfRule type="expression" priority="1570" id="{E66983AB-E434-473B-9514-397D35CEF2D3}">
            <xm:f>VLOOKUP(C21,Calendars!$O$1:$U$398,MATCH($X$1,Calendars!$O$1:$U$1,0),FALSE)="Non Contract"</xm:f>
            <x14:dxf>
              <fill>
                <patternFill patternType="lightDown"/>
              </fill>
              <border>
                <bottom/>
              </border>
            </x14:dxf>
          </x14:cfRule>
          <x14:cfRule type="expression" priority="1579" id="{A6A7DF7B-9C1E-42AB-BB1F-D17A3900D6B5}">
            <xm:f>VLOOKUP(C21,Calendars!$O$1:$U$398,MATCH($X$1,Calendars!$O$1:$U$1,0),FALSE)="Holiday"</xm:f>
            <x14:dxf>
              <fill>
                <patternFill>
                  <bgColor rgb="FFFF99FF"/>
                </patternFill>
              </fill>
              <border>
                <bottom/>
              </border>
            </x14:dxf>
          </x14:cfRule>
          <xm:sqref>C20</xm:sqref>
        </x14:conditionalFormatting>
        <x14:conditionalFormatting xmlns:xm="http://schemas.microsoft.com/office/excel/2006/main">
          <x14:cfRule type="expression" priority="1559" id="{CAD6AA37-6517-4B8E-8768-BFD7468A853C}">
            <xm:f>AND(VLOOKUP(D21,Calendars!$O$1:$U$398,MATCH($X$1,Calendars!$O$1:$U$1,0),FALSE)="Non Contract",$C$5&gt;0)</xm:f>
            <x14:dxf>
              <fill>
                <patternFill patternType="solid">
                  <fgColor theme="4" tint="0.79998168889431442"/>
                  <bgColor theme="8" tint="0.79995117038483843"/>
                </patternFill>
              </fill>
            </x14:dxf>
          </x14:cfRule>
          <xm:sqref>D20</xm:sqref>
        </x14:conditionalFormatting>
        <x14:conditionalFormatting xmlns:xm="http://schemas.microsoft.com/office/excel/2006/main">
          <x14:cfRule type="expression" priority="1569" id="{6A9712FF-79C2-49D2-88C0-CB941F0881C4}">
            <xm:f>AND(VLOOKUP(D21,Calendars!$O$1:$U$398,MATCH($X$1,Calendars!$O$1:$U$1,0),FALSE)="",D20=0)</xm:f>
            <x14:dxf>
              <fill>
                <patternFill>
                  <bgColor theme="7" tint="0.79998168889431442"/>
                </patternFill>
              </fill>
            </x14:dxf>
          </x14:cfRule>
          <xm:sqref>D20</xm:sqref>
        </x14:conditionalFormatting>
        <x14:conditionalFormatting xmlns:xm="http://schemas.microsoft.com/office/excel/2006/main">
          <x14:cfRule type="expression" priority="1558" id="{AC4934E1-864C-412B-B248-EA29F6BE161E}">
            <xm:f>VLOOKUP(D21,Calendars!$O$1:$U$398,MATCH($X$1,Calendars!$O$1:$U$1,0),FALSE)="Non Contract"</xm:f>
            <x14:dxf>
              <fill>
                <patternFill patternType="lightDown"/>
              </fill>
              <border>
                <bottom/>
              </border>
            </x14:dxf>
          </x14:cfRule>
          <x14:cfRule type="expression" priority="1567" id="{E3456EE9-14C8-409C-8F94-FBC9BD364152}">
            <xm:f>VLOOKUP(D21,Calendars!$O$1:$U$398,MATCH($X$1,Calendars!$O$1:$U$1,0),FALSE)="Holiday"</xm:f>
            <x14:dxf>
              <fill>
                <patternFill>
                  <bgColor rgb="FFFF99FF"/>
                </patternFill>
              </fill>
              <border>
                <bottom/>
              </border>
            </x14:dxf>
          </x14:cfRule>
          <xm:sqref>D20</xm:sqref>
        </x14:conditionalFormatting>
        <x14:conditionalFormatting xmlns:xm="http://schemas.microsoft.com/office/excel/2006/main">
          <x14:cfRule type="expression" priority="1547" id="{6325F031-BBAA-4DCC-9851-19CE5A6A946B}">
            <xm:f>AND(VLOOKUP(E21,Calendars!$O$1:$U$398,MATCH($X$1,Calendars!$O$1:$U$1,0),FALSE)="Non Contract",$C$5&gt;0)</xm:f>
            <x14:dxf>
              <fill>
                <patternFill patternType="solid">
                  <fgColor theme="4" tint="0.79998168889431442"/>
                  <bgColor theme="8" tint="0.79995117038483843"/>
                </patternFill>
              </fill>
            </x14:dxf>
          </x14:cfRule>
          <xm:sqref>E20:G20</xm:sqref>
        </x14:conditionalFormatting>
        <x14:conditionalFormatting xmlns:xm="http://schemas.microsoft.com/office/excel/2006/main">
          <x14:cfRule type="expression" priority="1557" id="{8214FB4D-D855-46A8-8898-CB102030C045}">
            <xm:f>AND(VLOOKUP(E21,Calendars!$O$1:$U$398,MATCH($X$1,Calendars!$O$1:$U$1,0),FALSE)="",E20=0)</xm:f>
            <x14:dxf>
              <fill>
                <patternFill>
                  <bgColor theme="7" tint="0.79998168889431442"/>
                </patternFill>
              </fill>
            </x14:dxf>
          </x14:cfRule>
          <xm:sqref>E20:G20</xm:sqref>
        </x14:conditionalFormatting>
        <x14:conditionalFormatting xmlns:xm="http://schemas.microsoft.com/office/excel/2006/main">
          <x14:cfRule type="expression" priority="1546" id="{7A15C8FF-2DB2-4BDD-97B1-7C9FC38658E4}">
            <xm:f>VLOOKUP(E21,Calendars!$O$1:$U$398,MATCH($X$1,Calendars!$O$1:$U$1,0),FALSE)="Non Contract"</xm:f>
            <x14:dxf>
              <fill>
                <patternFill patternType="lightDown"/>
              </fill>
              <border>
                <bottom/>
              </border>
            </x14:dxf>
          </x14:cfRule>
          <x14:cfRule type="expression" priority="1555" id="{96426EDE-FFEA-430B-A203-ACCF3439D87A}">
            <xm:f>VLOOKUP(E21,Calendars!$O$1:$U$398,MATCH($X$1,Calendars!$O$1:$U$1,0),FALSE)="Holiday"</xm:f>
            <x14:dxf>
              <fill>
                <patternFill>
                  <bgColor rgb="FFFF99FF"/>
                </patternFill>
              </fill>
              <border>
                <bottom/>
              </border>
            </x14:dxf>
          </x14:cfRule>
          <xm:sqref>E20:G20</xm:sqref>
        </x14:conditionalFormatting>
        <x14:conditionalFormatting xmlns:xm="http://schemas.microsoft.com/office/excel/2006/main">
          <x14:cfRule type="expression" priority="1535" id="{02618E62-6F60-4F35-9B45-24D7D4058304}">
            <xm:f>AND(VLOOKUP(C23,Calendars!$O$1:$U$398,MATCH($X$1,Calendars!$O$1:$U$1,0),FALSE)="Non Contract",$C$5&gt;0)</xm:f>
            <x14:dxf>
              <fill>
                <patternFill patternType="solid">
                  <fgColor theme="4" tint="0.79998168889431442"/>
                  <bgColor theme="8" tint="0.79995117038483843"/>
                </patternFill>
              </fill>
            </x14:dxf>
          </x14:cfRule>
          <xm:sqref>C22</xm:sqref>
        </x14:conditionalFormatting>
        <x14:conditionalFormatting xmlns:xm="http://schemas.microsoft.com/office/excel/2006/main">
          <x14:cfRule type="expression" priority="1545" id="{5BF1C20A-2554-4759-BA47-0AAE7D505B74}">
            <xm:f>AND(VLOOKUP(C23,Calendars!$O$1:$U$398,MATCH($X$1,Calendars!$O$1:$U$1,0),FALSE)="",C22=0)</xm:f>
            <x14:dxf>
              <fill>
                <patternFill>
                  <bgColor theme="7" tint="0.79998168889431442"/>
                </patternFill>
              </fill>
            </x14:dxf>
          </x14:cfRule>
          <xm:sqref>C22</xm:sqref>
        </x14:conditionalFormatting>
        <x14:conditionalFormatting xmlns:xm="http://schemas.microsoft.com/office/excel/2006/main">
          <x14:cfRule type="expression" priority="1534" id="{14006C00-5564-46DC-9F04-94F388EE6E98}">
            <xm:f>VLOOKUP(C23,Calendars!$O$1:$U$398,MATCH($X$1,Calendars!$O$1:$U$1,0),FALSE)="Non Contract"</xm:f>
            <x14:dxf>
              <fill>
                <patternFill patternType="lightDown"/>
              </fill>
              <border>
                <bottom/>
              </border>
            </x14:dxf>
          </x14:cfRule>
          <x14:cfRule type="expression" priority="1543" id="{798C03EF-A3BB-4C57-A33B-378DA157FC4A}">
            <xm:f>VLOOKUP(C23,Calendars!$O$1:$U$398,MATCH($X$1,Calendars!$O$1:$U$1,0),FALSE)="Holiday"</xm:f>
            <x14:dxf>
              <fill>
                <patternFill>
                  <bgColor rgb="FFFF99FF"/>
                </patternFill>
              </fill>
              <border>
                <bottom/>
              </border>
            </x14:dxf>
          </x14:cfRule>
          <xm:sqref>C22</xm:sqref>
        </x14:conditionalFormatting>
        <x14:conditionalFormatting xmlns:xm="http://schemas.microsoft.com/office/excel/2006/main">
          <x14:cfRule type="expression" priority="1523" id="{222DF156-5C7C-415C-AF2D-FB064786A1D4}">
            <xm:f>AND(VLOOKUP(D23,Calendars!$O$1:$U$398,MATCH($X$1,Calendars!$O$1:$U$1,0),FALSE)="Non Contract",$C$5&gt;0)</xm:f>
            <x14:dxf>
              <fill>
                <patternFill patternType="solid">
                  <fgColor theme="4" tint="0.79998168889431442"/>
                  <bgColor theme="8" tint="0.79995117038483843"/>
                </patternFill>
              </fill>
            </x14:dxf>
          </x14:cfRule>
          <xm:sqref>D22</xm:sqref>
        </x14:conditionalFormatting>
        <x14:conditionalFormatting xmlns:xm="http://schemas.microsoft.com/office/excel/2006/main">
          <x14:cfRule type="expression" priority="1533" id="{A75DFD2C-DC9B-4C8C-9DC3-CB4C82983D8B}">
            <xm:f>AND(VLOOKUP(D23,Calendars!$O$1:$U$398,MATCH($X$1,Calendars!$O$1:$U$1,0),FALSE)="",D22=0)</xm:f>
            <x14:dxf>
              <fill>
                <patternFill>
                  <bgColor theme="7" tint="0.79998168889431442"/>
                </patternFill>
              </fill>
            </x14:dxf>
          </x14:cfRule>
          <xm:sqref>D22</xm:sqref>
        </x14:conditionalFormatting>
        <x14:conditionalFormatting xmlns:xm="http://schemas.microsoft.com/office/excel/2006/main">
          <x14:cfRule type="expression" priority="1522" id="{FCC3943A-3BD9-4547-AD36-2414FE1CEF64}">
            <xm:f>VLOOKUP(D23,Calendars!$O$1:$U$398,MATCH($X$1,Calendars!$O$1:$U$1,0),FALSE)="Non Contract"</xm:f>
            <x14:dxf>
              <fill>
                <patternFill patternType="lightDown"/>
              </fill>
              <border>
                <bottom/>
              </border>
            </x14:dxf>
          </x14:cfRule>
          <x14:cfRule type="expression" priority="1531" id="{5E90B9FB-EC01-41E2-94E4-AFEBF1C05675}">
            <xm:f>VLOOKUP(D23,Calendars!$O$1:$U$398,MATCH($X$1,Calendars!$O$1:$U$1,0),FALSE)="Holiday"</xm:f>
            <x14:dxf>
              <fill>
                <patternFill>
                  <bgColor rgb="FFFF99FF"/>
                </patternFill>
              </fill>
              <border>
                <bottom/>
              </border>
            </x14:dxf>
          </x14:cfRule>
          <xm:sqref>D22</xm:sqref>
        </x14:conditionalFormatting>
        <x14:conditionalFormatting xmlns:xm="http://schemas.microsoft.com/office/excel/2006/main">
          <x14:cfRule type="expression" priority="1511" id="{11978202-D62D-4D5E-881B-E16989DB5616}">
            <xm:f>AND(VLOOKUP(E23,Calendars!$O$1:$U$398,MATCH($X$1,Calendars!$O$1:$U$1,0),FALSE)="Non Contract",$C$5&gt;0)</xm:f>
            <x14:dxf>
              <fill>
                <patternFill patternType="solid">
                  <fgColor theme="4" tint="0.79998168889431442"/>
                  <bgColor theme="8" tint="0.79995117038483843"/>
                </patternFill>
              </fill>
            </x14:dxf>
          </x14:cfRule>
          <xm:sqref>E22:G22</xm:sqref>
        </x14:conditionalFormatting>
        <x14:conditionalFormatting xmlns:xm="http://schemas.microsoft.com/office/excel/2006/main">
          <x14:cfRule type="expression" priority="1521" id="{A8C27C13-1A3C-47B0-B803-5F360FEED56C}">
            <xm:f>AND(VLOOKUP(E23,Calendars!$O$1:$U$398,MATCH($X$1,Calendars!$O$1:$U$1,0),FALSE)="",E22=0)</xm:f>
            <x14:dxf>
              <fill>
                <patternFill>
                  <bgColor theme="7" tint="0.79998168889431442"/>
                </patternFill>
              </fill>
            </x14:dxf>
          </x14:cfRule>
          <xm:sqref>E22:G22</xm:sqref>
        </x14:conditionalFormatting>
        <x14:conditionalFormatting xmlns:xm="http://schemas.microsoft.com/office/excel/2006/main">
          <x14:cfRule type="expression" priority="1510" id="{ACDBD970-2D9F-403C-A3B9-98ED3CC92AD6}">
            <xm:f>VLOOKUP(E23,Calendars!$O$1:$U$398,MATCH($X$1,Calendars!$O$1:$U$1,0),FALSE)="Non Contract"</xm:f>
            <x14:dxf>
              <fill>
                <patternFill patternType="lightDown"/>
              </fill>
              <border>
                <bottom/>
              </border>
            </x14:dxf>
          </x14:cfRule>
          <x14:cfRule type="expression" priority="1519" id="{8FF89B63-2BA9-4C61-A4C9-2E1C53A73195}">
            <xm:f>VLOOKUP(E23,Calendars!$O$1:$U$398,MATCH($X$1,Calendars!$O$1:$U$1,0),FALSE)="Holiday"</xm:f>
            <x14:dxf>
              <fill>
                <patternFill>
                  <bgColor rgb="FFFF99FF"/>
                </patternFill>
              </fill>
              <border>
                <bottom/>
              </border>
            </x14:dxf>
          </x14:cfRule>
          <xm:sqref>E22:G22</xm:sqref>
        </x14:conditionalFormatting>
        <x14:conditionalFormatting xmlns:xm="http://schemas.microsoft.com/office/excel/2006/main">
          <x14:cfRule type="expression" priority="1499" id="{9C0994A8-6CFE-4300-85D1-F90D6C4150DC}">
            <xm:f>AND(VLOOKUP(C25,Calendars!$O$1:$U$398,MATCH($X$1,Calendars!$O$1:$U$1,0),FALSE)="Non Contract",$C$5&gt;0)</xm:f>
            <x14:dxf>
              <fill>
                <patternFill patternType="solid">
                  <fgColor theme="4" tint="0.79998168889431442"/>
                  <bgColor theme="8" tint="0.79995117038483843"/>
                </patternFill>
              </fill>
            </x14:dxf>
          </x14:cfRule>
          <xm:sqref>C24</xm:sqref>
        </x14:conditionalFormatting>
        <x14:conditionalFormatting xmlns:xm="http://schemas.microsoft.com/office/excel/2006/main">
          <x14:cfRule type="expression" priority="1509" id="{1F6331CC-31F6-45A3-B8E7-A45B637D7F4B}">
            <xm:f>AND(VLOOKUP(C25,Calendars!$O$1:$U$398,MATCH($X$1,Calendars!$O$1:$U$1,0),FALSE)="",C24=0)</xm:f>
            <x14:dxf>
              <fill>
                <patternFill>
                  <bgColor theme="7" tint="0.79998168889431442"/>
                </patternFill>
              </fill>
            </x14:dxf>
          </x14:cfRule>
          <xm:sqref>C24</xm:sqref>
        </x14:conditionalFormatting>
        <x14:conditionalFormatting xmlns:xm="http://schemas.microsoft.com/office/excel/2006/main">
          <x14:cfRule type="expression" priority="1498" id="{F93C82F7-AA5E-4482-BE42-9A46D81171B4}">
            <xm:f>VLOOKUP(C25,Calendars!$O$1:$U$398,MATCH($X$1,Calendars!$O$1:$U$1,0),FALSE)="Non Contract"</xm:f>
            <x14:dxf>
              <fill>
                <patternFill patternType="lightDown"/>
              </fill>
              <border>
                <bottom/>
              </border>
            </x14:dxf>
          </x14:cfRule>
          <x14:cfRule type="expression" priority="1507" id="{5B4AE094-F76D-40DC-8CF4-6B9C1DA182C9}">
            <xm:f>VLOOKUP(C25,Calendars!$O$1:$U$398,MATCH($X$1,Calendars!$O$1:$U$1,0),FALSE)="Holiday"</xm:f>
            <x14:dxf>
              <fill>
                <patternFill>
                  <bgColor rgb="FFFF99FF"/>
                </patternFill>
              </fill>
              <border>
                <bottom/>
              </border>
            </x14:dxf>
          </x14:cfRule>
          <xm:sqref>C24</xm:sqref>
        </x14:conditionalFormatting>
        <x14:conditionalFormatting xmlns:xm="http://schemas.microsoft.com/office/excel/2006/main">
          <x14:cfRule type="expression" priority="1487" id="{C2343E71-7D7A-4191-9557-9ADFD9EABA9A}">
            <xm:f>AND(VLOOKUP(D25,Calendars!$O$1:$U$398,MATCH($X$1,Calendars!$O$1:$U$1,0),FALSE)="Non Contract",$C$5&gt;0)</xm:f>
            <x14:dxf>
              <fill>
                <patternFill patternType="solid">
                  <fgColor theme="4" tint="0.79998168889431442"/>
                  <bgColor theme="8" tint="0.79995117038483843"/>
                </patternFill>
              </fill>
            </x14:dxf>
          </x14:cfRule>
          <xm:sqref>D24</xm:sqref>
        </x14:conditionalFormatting>
        <x14:conditionalFormatting xmlns:xm="http://schemas.microsoft.com/office/excel/2006/main">
          <x14:cfRule type="expression" priority="1497" id="{EB4E5F62-001D-46C7-8A8F-075677141F88}">
            <xm:f>AND(VLOOKUP(D25,Calendars!$O$1:$U$398,MATCH($X$1,Calendars!$O$1:$U$1,0),FALSE)="",D24=0)</xm:f>
            <x14:dxf>
              <fill>
                <patternFill>
                  <bgColor theme="7" tint="0.79998168889431442"/>
                </patternFill>
              </fill>
            </x14:dxf>
          </x14:cfRule>
          <xm:sqref>D24</xm:sqref>
        </x14:conditionalFormatting>
        <x14:conditionalFormatting xmlns:xm="http://schemas.microsoft.com/office/excel/2006/main">
          <x14:cfRule type="expression" priority="1486" id="{89E69E8F-E58E-489E-BCE5-F8294C33C82D}">
            <xm:f>VLOOKUP(D25,Calendars!$O$1:$U$398,MATCH($X$1,Calendars!$O$1:$U$1,0),FALSE)="Non Contract"</xm:f>
            <x14:dxf>
              <fill>
                <patternFill patternType="lightDown"/>
              </fill>
              <border>
                <bottom/>
              </border>
            </x14:dxf>
          </x14:cfRule>
          <x14:cfRule type="expression" priority="1495" id="{189265A7-D8B3-4BD2-AA6A-1F8D482ACAE3}">
            <xm:f>VLOOKUP(D25,Calendars!$O$1:$U$398,MATCH($X$1,Calendars!$O$1:$U$1,0),FALSE)="Holiday"</xm:f>
            <x14:dxf>
              <fill>
                <patternFill>
                  <bgColor rgb="FFFF99FF"/>
                </patternFill>
              </fill>
              <border>
                <bottom/>
              </border>
            </x14:dxf>
          </x14:cfRule>
          <xm:sqref>D24</xm:sqref>
        </x14:conditionalFormatting>
        <x14:conditionalFormatting xmlns:xm="http://schemas.microsoft.com/office/excel/2006/main">
          <x14:cfRule type="expression" priority="1475" id="{EC8B69F1-89FE-4927-87F5-ADD63F4DF31C}">
            <xm:f>AND(VLOOKUP(E25,Calendars!$O$1:$U$398,MATCH($X$1,Calendars!$O$1:$U$1,0),FALSE)="Non Contract",$C$5&gt;0)</xm:f>
            <x14:dxf>
              <fill>
                <patternFill patternType="solid">
                  <fgColor theme="4" tint="0.79998168889431442"/>
                  <bgColor theme="8" tint="0.79995117038483843"/>
                </patternFill>
              </fill>
            </x14:dxf>
          </x14:cfRule>
          <xm:sqref>E24:G24</xm:sqref>
        </x14:conditionalFormatting>
        <x14:conditionalFormatting xmlns:xm="http://schemas.microsoft.com/office/excel/2006/main">
          <x14:cfRule type="expression" priority="1485" id="{523321BA-1A9C-42D9-A3E6-B5A1243F0829}">
            <xm:f>AND(VLOOKUP(E25,Calendars!$O$1:$U$398,MATCH($X$1,Calendars!$O$1:$U$1,0),FALSE)="",E24=0)</xm:f>
            <x14:dxf>
              <fill>
                <patternFill>
                  <bgColor theme="7" tint="0.79998168889431442"/>
                </patternFill>
              </fill>
            </x14:dxf>
          </x14:cfRule>
          <xm:sqref>E24:G24</xm:sqref>
        </x14:conditionalFormatting>
        <x14:conditionalFormatting xmlns:xm="http://schemas.microsoft.com/office/excel/2006/main">
          <x14:cfRule type="expression" priority="1474" id="{E27E24EC-FC34-4C0B-9DE6-CD593B694EC7}">
            <xm:f>VLOOKUP(E25,Calendars!$O$1:$U$398,MATCH($X$1,Calendars!$O$1:$U$1,0),FALSE)="Non Contract"</xm:f>
            <x14:dxf>
              <fill>
                <patternFill patternType="lightDown"/>
              </fill>
              <border>
                <bottom/>
              </border>
            </x14:dxf>
          </x14:cfRule>
          <x14:cfRule type="expression" priority="1483" id="{1206FF26-73D1-44A8-BD1E-14CA4F047502}">
            <xm:f>VLOOKUP(E25,Calendars!$O$1:$U$398,MATCH($X$1,Calendars!$O$1:$U$1,0),FALSE)="Holiday"</xm:f>
            <x14:dxf>
              <fill>
                <patternFill>
                  <bgColor rgb="FFFF99FF"/>
                </patternFill>
              </fill>
              <border>
                <bottom/>
              </border>
            </x14:dxf>
          </x14:cfRule>
          <xm:sqref>E24:G24</xm:sqref>
        </x14:conditionalFormatting>
        <x14:conditionalFormatting xmlns:xm="http://schemas.microsoft.com/office/excel/2006/main">
          <x14:cfRule type="expression" priority="1463" id="{19374430-DEB9-4551-A408-D1E8D0F2D29C}">
            <xm:f>AND(VLOOKUP(J17,Calendars!$O$1:$U$398,MATCH($X$1,Calendars!$O$1:$U$1,0),FALSE)="Non Contract",$C$5&gt;0)</xm:f>
            <x14:dxf>
              <fill>
                <patternFill patternType="solid">
                  <fgColor theme="4" tint="0.79998168889431442"/>
                  <bgColor theme="8" tint="0.79995117038483843"/>
                </patternFill>
              </fill>
            </x14:dxf>
          </x14:cfRule>
          <xm:sqref>J16</xm:sqref>
        </x14:conditionalFormatting>
        <x14:conditionalFormatting xmlns:xm="http://schemas.microsoft.com/office/excel/2006/main">
          <x14:cfRule type="expression" priority="1473" id="{97D3ED01-29B8-495F-A3B3-ED52423AA952}">
            <xm:f>AND(VLOOKUP(J17,Calendars!$O$1:$U$398,MATCH($X$1,Calendars!$O$1:$U$1,0),FALSE)="",J16=0)</xm:f>
            <x14:dxf>
              <fill>
                <patternFill>
                  <bgColor theme="7" tint="0.79998168889431442"/>
                </patternFill>
              </fill>
            </x14:dxf>
          </x14:cfRule>
          <xm:sqref>J16</xm:sqref>
        </x14:conditionalFormatting>
        <x14:conditionalFormatting xmlns:xm="http://schemas.microsoft.com/office/excel/2006/main">
          <x14:cfRule type="expression" priority="1462" id="{F5D0FA93-4F27-47B9-BCDD-D82D43AA1468}">
            <xm:f>VLOOKUP(J17,Calendars!$O$1:$U$398,MATCH($X$1,Calendars!$O$1:$U$1,0),FALSE)="Non Contract"</xm:f>
            <x14:dxf>
              <fill>
                <patternFill patternType="lightDown"/>
              </fill>
              <border>
                <bottom/>
              </border>
            </x14:dxf>
          </x14:cfRule>
          <x14:cfRule type="expression" priority="1471" id="{27AE2C10-A0EA-42EE-967A-CC30B7113157}">
            <xm:f>VLOOKUP(J17,Calendars!$O$1:$U$398,MATCH($X$1,Calendars!$O$1:$U$1,0),FALSE)="Holiday"</xm:f>
            <x14:dxf>
              <fill>
                <patternFill>
                  <bgColor rgb="FFFF99FF"/>
                </patternFill>
              </fill>
              <border>
                <bottom/>
              </border>
            </x14:dxf>
          </x14:cfRule>
          <xm:sqref>J16</xm:sqref>
        </x14:conditionalFormatting>
        <x14:conditionalFormatting xmlns:xm="http://schemas.microsoft.com/office/excel/2006/main">
          <x14:cfRule type="expression" priority="1451" id="{B3BA494E-5DE8-4FA6-8736-827F3F406321}">
            <xm:f>AND(VLOOKUP(K17,Calendars!$O$1:$U$398,MATCH($X$1,Calendars!$O$1:$U$1,0),FALSE)="Non Contract",$C$5&gt;0)</xm:f>
            <x14:dxf>
              <fill>
                <patternFill patternType="solid">
                  <fgColor theme="4" tint="0.79998168889431442"/>
                  <bgColor theme="8" tint="0.79995117038483843"/>
                </patternFill>
              </fill>
            </x14:dxf>
          </x14:cfRule>
          <xm:sqref>K16</xm:sqref>
        </x14:conditionalFormatting>
        <x14:conditionalFormatting xmlns:xm="http://schemas.microsoft.com/office/excel/2006/main">
          <x14:cfRule type="expression" priority="1461" id="{6DBEB867-838D-4FCC-8977-8E06848B67C7}">
            <xm:f>AND(VLOOKUP(K17,Calendars!$O$1:$U$398,MATCH($X$1,Calendars!$O$1:$U$1,0),FALSE)="",K16=0)</xm:f>
            <x14:dxf>
              <fill>
                <patternFill>
                  <bgColor theme="7" tint="0.79998168889431442"/>
                </patternFill>
              </fill>
            </x14:dxf>
          </x14:cfRule>
          <xm:sqref>K16</xm:sqref>
        </x14:conditionalFormatting>
        <x14:conditionalFormatting xmlns:xm="http://schemas.microsoft.com/office/excel/2006/main">
          <x14:cfRule type="expression" priority="1450" id="{7DE8E75F-DFEE-4BE2-8A90-7AF3046B7879}">
            <xm:f>VLOOKUP(K17,Calendars!$O$1:$U$398,MATCH($X$1,Calendars!$O$1:$U$1,0),FALSE)="Non Contract"</xm:f>
            <x14:dxf>
              <fill>
                <patternFill patternType="lightDown"/>
              </fill>
              <border>
                <bottom/>
              </border>
            </x14:dxf>
          </x14:cfRule>
          <x14:cfRule type="expression" priority="1459" id="{E9BB52E8-B318-4790-A5F9-8EED4DEEA494}">
            <xm:f>VLOOKUP(K17,Calendars!$O$1:$U$398,MATCH($X$1,Calendars!$O$1:$U$1,0),FALSE)="Holiday"</xm:f>
            <x14:dxf>
              <fill>
                <patternFill>
                  <bgColor rgb="FFFF99FF"/>
                </patternFill>
              </fill>
              <border>
                <bottom/>
              </border>
            </x14:dxf>
          </x14:cfRule>
          <xm:sqref>K16</xm:sqref>
        </x14:conditionalFormatting>
        <x14:conditionalFormatting xmlns:xm="http://schemas.microsoft.com/office/excel/2006/main">
          <x14:cfRule type="expression" priority="1439" id="{DD6D1436-F7A0-49A3-B5A3-ADD768C54678}">
            <xm:f>AND(VLOOKUP(L17,Calendars!$O$1:$U$398,MATCH($X$1,Calendars!$O$1:$U$1,0),FALSE)="Non Contract",$C$5&gt;0)</xm:f>
            <x14:dxf>
              <fill>
                <patternFill patternType="solid">
                  <fgColor theme="4" tint="0.79998168889431442"/>
                  <bgColor theme="8" tint="0.79995117038483843"/>
                </patternFill>
              </fill>
            </x14:dxf>
          </x14:cfRule>
          <xm:sqref>L16:N16</xm:sqref>
        </x14:conditionalFormatting>
        <x14:conditionalFormatting xmlns:xm="http://schemas.microsoft.com/office/excel/2006/main">
          <x14:cfRule type="expression" priority="1449" id="{FEEB0D76-3041-4B90-AB02-584A8A2286E7}">
            <xm:f>AND(VLOOKUP(L17,Calendars!$O$1:$U$398,MATCH($X$1,Calendars!$O$1:$U$1,0),FALSE)="",L16=0)</xm:f>
            <x14:dxf>
              <fill>
                <patternFill>
                  <bgColor theme="7" tint="0.79998168889431442"/>
                </patternFill>
              </fill>
            </x14:dxf>
          </x14:cfRule>
          <xm:sqref>L16:N16</xm:sqref>
        </x14:conditionalFormatting>
        <x14:conditionalFormatting xmlns:xm="http://schemas.microsoft.com/office/excel/2006/main">
          <x14:cfRule type="expression" priority="1438" id="{A307D4E0-E36E-4302-87D4-5F74FD9D0EE4}">
            <xm:f>VLOOKUP(L17,Calendars!$O$1:$U$398,MATCH($X$1,Calendars!$O$1:$U$1,0),FALSE)="Non Contract"</xm:f>
            <x14:dxf>
              <fill>
                <patternFill patternType="lightDown"/>
              </fill>
              <border>
                <bottom/>
              </border>
            </x14:dxf>
          </x14:cfRule>
          <x14:cfRule type="expression" priority="1447" id="{742AFE96-C8FA-4954-825B-442F2C8DA53C}">
            <xm:f>VLOOKUP(L17,Calendars!$O$1:$U$398,MATCH($X$1,Calendars!$O$1:$U$1,0),FALSE)="Holiday"</xm:f>
            <x14:dxf>
              <fill>
                <patternFill>
                  <bgColor rgb="FFFF99FF"/>
                </patternFill>
              </fill>
              <border>
                <bottom/>
              </border>
            </x14:dxf>
          </x14:cfRule>
          <xm:sqref>L16:N16</xm:sqref>
        </x14:conditionalFormatting>
        <x14:conditionalFormatting xmlns:xm="http://schemas.microsoft.com/office/excel/2006/main">
          <x14:cfRule type="expression" priority="1427" id="{94A73CAE-BC55-43D6-91E7-1A8453053B81}">
            <xm:f>AND(VLOOKUP(J19,Calendars!$O$1:$U$398,MATCH($X$1,Calendars!$O$1:$U$1,0),FALSE)="Non Contract",$C$5&gt;0)</xm:f>
            <x14:dxf>
              <fill>
                <patternFill patternType="solid">
                  <fgColor theme="4" tint="0.79998168889431442"/>
                  <bgColor theme="8" tint="0.79995117038483843"/>
                </patternFill>
              </fill>
            </x14:dxf>
          </x14:cfRule>
          <xm:sqref>J18</xm:sqref>
        </x14:conditionalFormatting>
        <x14:conditionalFormatting xmlns:xm="http://schemas.microsoft.com/office/excel/2006/main">
          <x14:cfRule type="expression" priority="1437" id="{56E3B547-3179-42C8-B6C5-4493EB5F6368}">
            <xm:f>AND(VLOOKUP(J19,Calendars!$O$1:$U$398,MATCH($X$1,Calendars!$O$1:$U$1,0),FALSE)="",J18=0)</xm:f>
            <x14:dxf>
              <fill>
                <patternFill>
                  <bgColor theme="7" tint="0.79998168889431442"/>
                </patternFill>
              </fill>
            </x14:dxf>
          </x14:cfRule>
          <xm:sqref>J18</xm:sqref>
        </x14:conditionalFormatting>
        <x14:conditionalFormatting xmlns:xm="http://schemas.microsoft.com/office/excel/2006/main">
          <x14:cfRule type="expression" priority="1426" id="{AD8564E4-7C87-4F65-AC9E-05EA1A936686}">
            <xm:f>VLOOKUP(J19,Calendars!$O$1:$U$398,MATCH($X$1,Calendars!$O$1:$U$1,0),FALSE)="Non Contract"</xm:f>
            <x14:dxf>
              <fill>
                <patternFill patternType="lightDown"/>
              </fill>
              <border>
                <bottom/>
              </border>
            </x14:dxf>
          </x14:cfRule>
          <x14:cfRule type="expression" priority="1435" id="{44E5D27B-E335-4D4A-A528-5C2EFD6A574B}">
            <xm:f>VLOOKUP(J19,Calendars!$O$1:$U$398,MATCH($X$1,Calendars!$O$1:$U$1,0),FALSE)="Holiday"</xm:f>
            <x14:dxf>
              <fill>
                <patternFill>
                  <bgColor rgb="FFFF99FF"/>
                </patternFill>
              </fill>
              <border>
                <bottom/>
              </border>
            </x14:dxf>
          </x14:cfRule>
          <xm:sqref>J18</xm:sqref>
        </x14:conditionalFormatting>
        <x14:conditionalFormatting xmlns:xm="http://schemas.microsoft.com/office/excel/2006/main">
          <x14:cfRule type="expression" priority="1415" id="{D692F487-75D3-40B4-857E-B35EB9563922}">
            <xm:f>AND(VLOOKUP(K19,Calendars!$O$1:$U$398,MATCH($X$1,Calendars!$O$1:$U$1,0),FALSE)="Non Contract",$C$5&gt;0)</xm:f>
            <x14:dxf>
              <fill>
                <patternFill patternType="solid">
                  <fgColor theme="4" tint="0.79998168889431442"/>
                  <bgColor theme="8" tint="0.79995117038483843"/>
                </patternFill>
              </fill>
            </x14:dxf>
          </x14:cfRule>
          <xm:sqref>K18</xm:sqref>
        </x14:conditionalFormatting>
        <x14:conditionalFormatting xmlns:xm="http://schemas.microsoft.com/office/excel/2006/main">
          <x14:cfRule type="expression" priority="1425" id="{2BB52459-56BF-41B7-A2BE-97936AFB3563}">
            <xm:f>AND(VLOOKUP(K19,Calendars!$O$1:$U$398,MATCH($X$1,Calendars!$O$1:$U$1,0),FALSE)="",K18=0)</xm:f>
            <x14:dxf>
              <fill>
                <patternFill>
                  <bgColor theme="7" tint="0.79998168889431442"/>
                </patternFill>
              </fill>
            </x14:dxf>
          </x14:cfRule>
          <xm:sqref>K18</xm:sqref>
        </x14:conditionalFormatting>
        <x14:conditionalFormatting xmlns:xm="http://schemas.microsoft.com/office/excel/2006/main">
          <x14:cfRule type="expression" priority="1414" id="{D54C45D1-B15B-4789-968A-038025D769B5}">
            <xm:f>VLOOKUP(K19,Calendars!$O$1:$U$398,MATCH($X$1,Calendars!$O$1:$U$1,0),FALSE)="Non Contract"</xm:f>
            <x14:dxf>
              <fill>
                <patternFill patternType="lightDown"/>
              </fill>
              <border>
                <bottom/>
              </border>
            </x14:dxf>
          </x14:cfRule>
          <x14:cfRule type="expression" priority="1423" id="{2126CEE9-9B2C-4492-99A5-E0CCD241C081}">
            <xm:f>VLOOKUP(K19,Calendars!$O$1:$U$398,MATCH($X$1,Calendars!$O$1:$U$1,0),FALSE)="Holiday"</xm:f>
            <x14:dxf>
              <fill>
                <patternFill>
                  <bgColor rgb="FFFF99FF"/>
                </patternFill>
              </fill>
              <border>
                <bottom/>
              </border>
            </x14:dxf>
          </x14:cfRule>
          <xm:sqref>K18</xm:sqref>
        </x14:conditionalFormatting>
        <x14:conditionalFormatting xmlns:xm="http://schemas.microsoft.com/office/excel/2006/main">
          <x14:cfRule type="expression" priority="1403" id="{52DBDC6F-E310-491E-B23E-61FA9FDBED31}">
            <xm:f>AND(VLOOKUP(L19,Calendars!$O$1:$U$398,MATCH($X$1,Calendars!$O$1:$U$1,0),FALSE)="Non Contract",$C$5&gt;0)</xm:f>
            <x14:dxf>
              <fill>
                <patternFill patternType="solid">
                  <fgColor theme="4" tint="0.79998168889431442"/>
                  <bgColor theme="8" tint="0.79995117038483843"/>
                </patternFill>
              </fill>
            </x14:dxf>
          </x14:cfRule>
          <xm:sqref>L18:N18</xm:sqref>
        </x14:conditionalFormatting>
        <x14:conditionalFormatting xmlns:xm="http://schemas.microsoft.com/office/excel/2006/main">
          <x14:cfRule type="expression" priority="1413" id="{65B1E6D5-5D64-4890-BA0D-2CA11F1409F5}">
            <xm:f>AND(VLOOKUP(L19,Calendars!$O$1:$U$398,MATCH($X$1,Calendars!$O$1:$U$1,0),FALSE)="",L18=0)</xm:f>
            <x14:dxf>
              <fill>
                <patternFill>
                  <bgColor theme="7" tint="0.79998168889431442"/>
                </patternFill>
              </fill>
            </x14:dxf>
          </x14:cfRule>
          <xm:sqref>L18:N18</xm:sqref>
        </x14:conditionalFormatting>
        <x14:conditionalFormatting xmlns:xm="http://schemas.microsoft.com/office/excel/2006/main">
          <x14:cfRule type="expression" priority="1402" id="{A0BC0B87-DB2A-4E88-B589-6C4E855A6A0C}">
            <xm:f>VLOOKUP(L19,Calendars!$O$1:$U$398,MATCH($X$1,Calendars!$O$1:$U$1,0),FALSE)="Non Contract"</xm:f>
            <x14:dxf>
              <fill>
                <patternFill patternType="lightDown"/>
              </fill>
              <border>
                <bottom/>
              </border>
            </x14:dxf>
          </x14:cfRule>
          <x14:cfRule type="expression" priority="1411" id="{CD720AC6-6E0A-4892-8F88-CDA2D3C70C4F}">
            <xm:f>VLOOKUP(L19,Calendars!$O$1:$U$398,MATCH($X$1,Calendars!$O$1:$U$1,0),FALSE)="Holiday"</xm:f>
            <x14:dxf>
              <fill>
                <patternFill>
                  <bgColor rgb="FFFF99FF"/>
                </patternFill>
              </fill>
              <border>
                <bottom/>
              </border>
            </x14:dxf>
          </x14:cfRule>
          <xm:sqref>L18:N18</xm:sqref>
        </x14:conditionalFormatting>
        <x14:conditionalFormatting xmlns:xm="http://schemas.microsoft.com/office/excel/2006/main">
          <x14:cfRule type="expression" priority="1391" id="{DF046ACA-F6C2-43AD-994C-B219CCDED6B4}">
            <xm:f>AND(VLOOKUP(J21,Calendars!$O$1:$U$398,MATCH($X$1,Calendars!$O$1:$U$1,0),FALSE)="Non Contract",$C$5&gt;0)</xm:f>
            <x14:dxf>
              <fill>
                <patternFill patternType="solid">
                  <fgColor theme="4" tint="0.79998168889431442"/>
                  <bgColor theme="8" tint="0.79995117038483843"/>
                </patternFill>
              </fill>
            </x14:dxf>
          </x14:cfRule>
          <xm:sqref>J20</xm:sqref>
        </x14:conditionalFormatting>
        <x14:conditionalFormatting xmlns:xm="http://schemas.microsoft.com/office/excel/2006/main">
          <x14:cfRule type="expression" priority="1401" id="{94F9B5F0-E9E1-46C0-A7E0-06C09632F818}">
            <xm:f>AND(VLOOKUP(J21,Calendars!$O$1:$U$398,MATCH($X$1,Calendars!$O$1:$U$1,0),FALSE)="",J20=0)</xm:f>
            <x14:dxf>
              <fill>
                <patternFill>
                  <bgColor theme="7" tint="0.79998168889431442"/>
                </patternFill>
              </fill>
            </x14:dxf>
          </x14:cfRule>
          <xm:sqref>J20</xm:sqref>
        </x14:conditionalFormatting>
        <x14:conditionalFormatting xmlns:xm="http://schemas.microsoft.com/office/excel/2006/main">
          <x14:cfRule type="expression" priority="1390" id="{7BE6977D-74DD-41C3-B64F-AECA6F82ADF0}">
            <xm:f>VLOOKUP(J21,Calendars!$O$1:$U$398,MATCH($X$1,Calendars!$O$1:$U$1,0),FALSE)="Non Contract"</xm:f>
            <x14:dxf>
              <fill>
                <patternFill patternType="lightDown"/>
              </fill>
              <border>
                <bottom/>
              </border>
            </x14:dxf>
          </x14:cfRule>
          <x14:cfRule type="expression" priority="1399" id="{14EF16FB-DA41-4434-96DB-167683B786F0}">
            <xm:f>VLOOKUP(J21,Calendars!$O$1:$U$398,MATCH($X$1,Calendars!$O$1:$U$1,0),FALSE)="Holiday"</xm:f>
            <x14:dxf>
              <fill>
                <patternFill>
                  <bgColor rgb="FFFF99FF"/>
                </patternFill>
              </fill>
              <border>
                <bottom/>
              </border>
            </x14:dxf>
          </x14:cfRule>
          <xm:sqref>J20</xm:sqref>
        </x14:conditionalFormatting>
        <x14:conditionalFormatting xmlns:xm="http://schemas.microsoft.com/office/excel/2006/main">
          <x14:cfRule type="expression" priority="1379" id="{7F5EFB90-8D1B-49E8-9C42-954F1A78646B}">
            <xm:f>AND(VLOOKUP(K21,Calendars!$O$1:$U$398,MATCH($X$1,Calendars!$O$1:$U$1,0),FALSE)="Non Contract",$C$5&gt;0)</xm:f>
            <x14:dxf>
              <fill>
                <patternFill patternType="solid">
                  <fgColor theme="4" tint="0.79998168889431442"/>
                  <bgColor theme="8" tint="0.79995117038483843"/>
                </patternFill>
              </fill>
            </x14:dxf>
          </x14:cfRule>
          <xm:sqref>K20</xm:sqref>
        </x14:conditionalFormatting>
        <x14:conditionalFormatting xmlns:xm="http://schemas.microsoft.com/office/excel/2006/main">
          <x14:cfRule type="expression" priority="1389" id="{EE1B668C-2360-45B4-850D-40BE55E7253D}">
            <xm:f>AND(VLOOKUP(K21,Calendars!$O$1:$U$398,MATCH($X$1,Calendars!$O$1:$U$1,0),FALSE)="",K20=0)</xm:f>
            <x14:dxf>
              <fill>
                <patternFill>
                  <bgColor theme="7" tint="0.79998168889431442"/>
                </patternFill>
              </fill>
            </x14:dxf>
          </x14:cfRule>
          <xm:sqref>K20</xm:sqref>
        </x14:conditionalFormatting>
        <x14:conditionalFormatting xmlns:xm="http://schemas.microsoft.com/office/excel/2006/main">
          <x14:cfRule type="expression" priority="1378" id="{6C02976D-08A4-4329-BF61-F457676D0088}">
            <xm:f>VLOOKUP(K21,Calendars!$O$1:$U$398,MATCH($X$1,Calendars!$O$1:$U$1,0),FALSE)="Non Contract"</xm:f>
            <x14:dxf>
              <fill>
                <patternFill patternType="lightDown"/>
              </fill>
              <border>
                <bottom/>
              </border>
            </x14:dxf>
          </x14:cfRule>
          <x14:cfRule type="expression" priority="1387" id="{0BC2A978-B35F-4E9A-854E-15886317FB75}">
            <xm:f>VLOOKUP(K21,Calendars!$O$1:$U$398,MATCH($X$1,Calendars!$O$1:$U$1,0),FALSE)="Holiday"</xm:f>
            <x14:dxf>
              <fill>
                <patternFill>
                  <bgColor rgb="FFFF99FF"/>
                </patternFill>
              </fill>
              <border>
                <bottom/>
              </border>
            </x14:dxf>
          </x14:cfRule>
          <xm:sqref>K20</xm:sqref>
        </x14:conditionalFormatting>
        <x14:conditionalFormatting xmlns:xm="http://schemas.microsoft.com/office/excel/2006/main">
          <x14:cfRule type="expression" priority="1367" id="{3A12E780-76AD-460B-AE5D-21A4F0D3F3D3}">
            <xm:f>AND(VLOOKUP(L21,Calendars!$O$1:$U$398,MATCH($X$1,Calendars!$O$1:$U$1,0),FALSE)="Non Contract",$C$5&gt;0)</xm:f>
            <x14:dxf>
              <fill>
                <patternFill patternType="solid">
                  <fgColor theme="4" tint="0.79998168889431442"/>
                  <bgColor theme="8" tint="0.79995117038483843"/>
                </patternFill>
              </fill>
            </x14:dxf>
          </x14:cfRule>
          <xm:sqref>L20:N20</xm:sqref>
        </x14:conditionalFormatting>
        <x14:conditionalFormatting xmlns:xm="http://schemas.microsoft.com/office/excel/2006/main">
          <x14:cfRule type="expression" priority="1377" id="{54D521E6-0FE7-40ED-B70D-4A5F2C8FDDFC}">
            <xm:f>AND(VLOOKUP(L21,Calendars!$O$1:$U$398,MATCH($X$1,Calendars!$O$1:$U$1,0),FALSE)="",L20=0)</xm:f>
            <x14:dxf>
              <fill>
                <patternFill>
                  <bgColor theme="7" tint="0.79998168889431442"/>
                </patternFill>
              </fill>
            </x14:dxf>
          </x14:cfRule>
          <xm:sqref>L20:N20</xm:sqref>
        </x14:conditionalFormatting>
        <x14:conditionalFormatting xmlns:xm="http://schemas.microsoft.com/office/excel/2006/main">
          <x14:cfRule type="expression" priority="1366" id="{76D3DF9D-0E12-4D27-8288-24B75E900248}">
            <xm:f>VLOOKUP(L21,Calendars!$O$1:$U$398,MATCH($X$1,Calendars!$O$1:$U$1,0),FALSE)="Non Contract"</xm:f>
            <x14:dxf>
              <fill>
                <patternFill patternType="lightDown"/>
              </fill>
              <border>
                <bottom/>
              </border>
            </x14:dxf>
          </x14:cfRule>
          <x14:cfRule type="expression" priority="1375" id="{D112E246-78F4-46E6-A8E8-349936445BC4}">
            <xm:f>VLOOKUP(L21,Calendars!$O$1:$U$398,MATCH($X$1,Calendars!$O$1:$U$1,0),FALSE)="Holiday"</xm:f>
            <x14:dxf>
              <fill>
                <patternFill>
                  <bgColor rgb="FFFF99FF"/>
                </patternFill>
              </fill>
              <border>
                <bottom/>
              </border>
            </x14:dxf>
          </x14:cfRule>
          <xm:sqref>L20:N20</xm:sqref>
        </x14:conditionalFormatting>
        <x14:conditionalFormatting xmlns:xm="http://schemas.microsoft.com/office/excel/2006/main">
          <x14:cfRule type="expression" priority="1355" id="{6245B5DC-8C12-4975-B78E-D20ABA7A8D9A}">
            <xm:f>AND(VLOOKUP(J23,Calendars!$O$1:$U$398,MATCH($X$1,Calendars!$O$1:$U$1,0),FALSE)="Non Contract",$C$5&gt;0)</xm:f>
            <x14:dxf>
              <fill>
                <patternFill patternType="solid">
                  <fgColor theme="4" tint="0.79998168889431442"/>
                  <bgColor theme="8" tint="0.79995117038483843"/>
                </patternFill>
              </fill>
            </x14:dxf>
          </x14:cfRule>
          <xm:sqref>J22</xm:sqref>
        </x14:conditionalFormatting>
        <x14:conditionalFormatting xmlns:xm="http://schemas.microsoft.com/office/excel/2006/main">
          <x14:cfRule type="expression" priority="1365" id="{F0746472-1AD6-4AFE-9910-F283894941DF}">
            <xm:f>AND(VLOOKUP(J23,Calendars!$O$1:$U$398,MATCH($X$1,Calendars!$O$1:$U$1,0),FALSE)="",J22=0)</xm:f>
            <x14:dxf>
              <fill>
                <patternFill>
                  <bgColor theme="7" tint="0.79998168889431442"/>
                </patternFill>
              </fill>
            </x14:dxf>
          </x14:cfRule>
          <xm:sqref>J22</xm:sqref>
        </x14:conditionalFormatting>
        <x14:conditionalFormatting xmlns:xm="http://schemas.microsoft.com/office/excel/2006/main">
          <x14:cfRule type="expression" priority="1354" id="{B70DB9CD-8E97-4002-94D7-F92C394EB66E}">
            <xm:f>VLOOKUP(J23,Calendars!$O$1:$U$398,MATCH($X$1,Calendars!$O$1:$U$1,0),FALSE)="Non Contract"</xm:f>
            <x14:dxf>
              <fill>
                <patternFill patternType="lightDown"/>
              </fill>
              <border>
                <bottom/>
              </border>
            </x14:dxf>
          </x14:cfRule>
          <x14:cfRule type="expression" priority="1363" id="{3B83294B-9E17-4A69-9408-91CBD88128BB}">
            <xm:f>VLOOKUP(J23,Calendars!$O$1:$U$398,MATCH($X$1,Calendars!$O$1:$U$1,0),FALSE)="Holiday"</xm:f>
            <x14:dxf>
              <fill>
                <patternFill>
                  <bgColor rgb="FFFF99FF"/>
                </patternFill>
              </fill>
              <border>
                <bottom/>
              </border>
            </x14:dxf>
          </x14:cfRule>
          <xm:sqref>J22</xm:sqref>
        </x14:conditionalFormatting>
        <x14:conditionalFormatting xmlns:xm="http://schemas.microsoft.com/office/excel/2006/main">
          <x14:cfRule type="expression" priority="1343" id="{1CB527EA-EF95-4989-9825-B571C0B6E8C4}">
            <xm:f>AND(VLOOKUP(K23,Calendars!$O$1:$U$398,MATCH($X$1,Calendars!$O$1:$U$1,0),FALSE)="Non Contract",$C$5&gt;0)</xm:f>
            <x14:dxf>
              <fill>
                <patternFill patternType="solid">
                  <fgColor theme="4" tint="0.79998168889431442"/>
                  <bgColor theme="8" tint="0.79995117038483843"/>
                </patternFill>
              </fill>
            </x14:dxf>
          </x14:cfRule>
          <xm:sqref>K22</xm:sqref>
        </x14:conditionalFormatting>
        <x14:conditionalFormatting xmlns:xm="http://schemas.microsoft.com/office/excel/2006/main">
          <x14:cfRule type="expression" priority="1353" id="{10E92D14-04F1-48F6-B161-579CFCF3E236}">
            <xm:f>AND(VLOOKUP(K23,Calendars!$O$1:$U$398,MATCH($X$1,Calendars!$O$1:$U$1,0),FALSE)="",K22=0)</xm:f>
            <x14:dxf>
              <fill>
                <patternFill>
                  <bgColor theme="7" tint="0.79998168889431442"/>
                </patternFill>
              </fill>
            </x14:dxf>
          </x14:cfRule>
          <xm:sqref>K22</xm:sqref>
        </x14:conditionalFormatting>
        <x14:conditionalFormatting xmlns:xm="http://schemas.microsoft.com/office/excel/2006/main">
          <x14:cfRule type="expression" priority="1342" id="{B57A8260-2F76-4B2E-8E71-DB952C9BB9B5}">
            <xm:f>VLOOKUP(K23,Calendars!$O$1:$U$398,MATCH($X$1,Calendars!$O$1:$U$1,0),FALSE)="Non Contract"</xm:f>
            <x14:dxf>
              <fill>
                <patternFill patternType="lightDown"/>
              </fill>
              <border>
                <bottom/>
              </border>
            </x14:dxf>
          </x14:cfRule>
          <x14:cfRule type="expression" priority="1351" id="{BA88DCE8-A364-49A5-9550-8603354822EF}">
            <xm:f>VLOOKUP(K23,Calendars!$O$1:$U$398,MATCH($X$1,Calendars!$O$1:$U$1,0),FALSE)="Holiday"</xm:f>
            <x14:dxf>
              <fill>
                <patternFill>
                  <bgColor rgb="FFFF99FF"/>
                </patternFill>
              </fill>
              <border>
                <bottom/>
              </border>
            </x14:dxf>
          </x14:cfRule>
          <xm:sqref>K22</xm:sqref>
        </x14:conditionalFormatting>
        <x14:conditionalFormatting xmlns:xm="http://schemas.microsoft.com/office/excel/2006/main">
          <x14:cfRule type="expression" priority="1331" id="{D7327873-AF47-4327-9E57-958860FF2800}">
            <xm:f>AND(VLOOKUP(L23,Calendars!$O$1:$U$398,MATCH($X$1,Calendars!$O$1:$U$1,0),FALSE)="Non Contract",$C$5&gt;0)</xm:f>
            <x14:dxf>
              <fill>
                <patternFill patternType="solid">
                  <fgColor theme="4" tint="0.79998168889431442"/>
                  <bgColor theme="8" tint="0.79995117038483843"/>
                </patternFill>
              </fill>
            </x14:dxf>
          </x14:cfRule>
          <xm:sqref>L22:N22</xm:sqref>
        </x14:conditionalFormatting>
        <x14:conditionalFormatting xmlns:xm="http://schemas.microsoft.com/office/excel/2006/main">
          <x14:cfRule type="expression" priority="1341" id="{CA02A759-02E4-41E6-B64E-C22C6AA1E252}">
            <xm:f>AND(VLOOKUP(L23,Calendars!$O$1:$U$398,MATCH($X$1,Calendars!$O$1:$U$1,0),FALSE)="",L22=0)</xm:f>
            <x14:dxf>
              <fill>
                <patternFill>
                  <bgColor theme="7" tint="0.79998168889431442"/>
                </patternFill>
              </fill>
            </x14:dxf>
          </x14:cfRule>
          <xm:sqref>L22:N22</xm:sqref>
        </x14:conditionalFormatting>
        <x14:conditionalFormatting xmlns:xm="http://schemas.microsoft.com/office/excel/2006/main">
          <x14:cfRule type="expression" priority="1330" id="{EDC49E47-BE2F-49C9-82DC-C3BC1D24240E}">
            <xm:f>VLOOKUP(L23,Calendars!$O$1:$U$398,MATCH($X$1,Calendars!$O$1:$U$1,0),FALSE)="Non Contract"</xm:f>
            <x14:dxf>
              <fill>
                <patternFill patternType="lightDown"/>
              </fill>
              <border>
                <bottom/>
              </border>
            </x14:dxf>
          </x14:cfRule>
          <x14:cfRule type="expression" priority="1339" id="{A08DC048-9F59-4E1D-AD1B-ABA797E76A5B}">
            <xm:f>VLOOKUP(L23,Calendars!$O$1:$U$398,MATCH($X$1,Calendars!$O$1:$U$1,0),FALSE)="Holiday"</xm:f>
            <x14:dxf>
              <fill>
                <patternFill>
                  <bgColor rgb="FFFF99FF"/>
                </patternFill>
              </fill>
              <border>
                <bottom/>
              </border>
            </x14:dxf>
          </x14:cfRule>
          <xm:sqref>L22:N22</xm:sqref>
        </x14:conditionalFormatting>
        <x14:conditionalFormatting xmlns:xm="http://schemas.microsoft.com/office/excel/2006/main">
          <x14:cfRule type="expression" priority="1319" id="{278FBADA-FAC4-4B90-A334-830D671A7D4B}">
            <xm:f>AND(VLOOKUP(J25,Calendars!$O$1:$U$398,MATCH($X$1,Calendars!$O$1:$U$1,0),FALSE)="Non Contract",$C$5&gt;0)</xm:f>
            <x14:dxf>
              <fill>
                <patternFill patternType="solid">
                  <fgColor theme="4" tint="0.79998168889431442"/>
                  <bgColor theme="8" tint="0.79995117038483843"/>
                </patternFill>
              </fill>
            </x14:dxf>
          </x14:cfRule>
          <xm:sqref>J24</xm:sqref>
        </x14:conditionalFormatting>
        <x14:conditionalFormatting xmlns:xm="http://schemas.microsoft.com/office/excel/2006/main">
          <x14:cfRule type="expression" priority="1329" id="{FF692C14-E44B-4164-A3A2-B6B9DAFF86EF}">
            <xm:f>AND(VLOOKUP(J25,Calendars!$O$1:$U$398,MATCH($X$1,Calendars!$O$1:$U$1,0),FALSE)="",J24=0)</xm:f>
            <x14:dxf>
              <fill>
                <patternFill>
                  <bgColor theme="7" tint="0.79998168889431442"/>
                </patternFill>
              </fill>
            </x14:dxf>
          </x14:cfRule>
          <xm:sqref>J24</xm:sqref>
        </x14:conditionalFormatting>
        <x14:conditionalFormatting xmlns:xm="http://schemas.microsoft.com/office/excel/2006/main">
          <x14:cfRule type="expression" priority="1318" id="{C0139A13-A77E-4A20-A0CC-25A06BAE5036}">
            <xm:f>VLOOKUP(J25,Calendars!$O$1:$U$398,MATCH($X$1,Calendars!$O$1:$U$1,0),FALSE)="Non Contract"</xm:f>
            <x14:dxf>
              <fill>
                <patternFill patternType="lightDown"/>
              </fill>
              <border>
                <bottom/>
              </border>
            </x14:dxf>
          </x14:cfRule>
          <x14:cfRule type="expression" priority="1327" id="{5833C098-BA39-4695-BC3D-E60BB4E4A748}">
            <xm:f>VLOOKUP(J25,Calendars!$O$1:$U$398,MATCH($X$1,Calendars!$O$1:$U$1,0),FALSE)="Holiday"</xm:f>
            <x14:dxf>
              <fill>
                <patternFill>
                  <bgColor rgb="FFFF99FF"/>
                </patternFill>
              </fill>
              <border>
                <bottom/>
              </border>
            </x14:dxf>
          </x14:cfRule>
          <xm:sqref>J24</xm:sqref>
        </x14:conditionalFormatting>
        <x14:conditionalFormatting xmlns:xm="http://schemas.microsoft.com/office/excel/2006/main">
          <x14:cfRule type="expression" priority="1307" id="{FF02F0C1-D294-4EAD-B102-37BA86ABF6DE}">
            <xm:f>AND(VLOOKUP(K25,Calendars!$O$1:$U$398,MATCH($X$1,Calendars!$O$1:$U$1,0),FALSE)="Non Contract",$C$5&gt;0)</xm:f>
            <x14:dxf>
              <fill>
                <patternFill patternType="solid">
                  <fgColor theme="4" tint="0.79998168889431442"/>
                  <bgColor theme="8" tint="0.79995117038483843"/>
                </patternFill>
              </fill>
            </x14:dxf>
          </x14:cfRule>
          <xm:sqref>K24</xm:sqref>
        </x14:conditionalFormatting>
        <x14:conditionalFormatting xmlns:xm="http://schemas.microsoft.com/office/excel/2006/main">
          <x14:cfRule type="expression" priority="1317" id="{264452D6-C50A-467B-AC2F-7804B7931F62}">
            <xm:f>AND(VLOOKUP(K25,Calendars!$O$1:$U$398,MATCH($X$1,Calendars!$O$1:$U$1,0),FALSE)="",K24=0)</xm:f>
            <x14:dxf>
              <fill>
                <patternFill>
                  <bgColor theme="7" tint="0.79998168889431442"/>
                </patternFill>
              </fill>
            </x14:dxf>
          </x14:cfRule>
          <xm:sqref>K24</xm:sqref>
        </x14:conditionalFormatting>
        <x14:conditionalFormatting xmlns:xm="http://schemas.microsoft.com/office/excel/2006/main">
          <x14:cfRule type="expression" priority="1306" id="{54707C54-8B32-4DD1-8AD6-BE63091B478C}">
            <xm:f>VLOOKUP(K25,Calendars!$O$1:$U$398,MATCH($X$1,Calendars!$O$1:$U$1,0),FALSE)="Non Contract"</xm:f>
            <x14:dxf>
              <fill>
                <patternFill patternType="lightDown"/>
              </fill>
              <border>
                <bottom/>
              </border>
            </x14:dxf>
          </x14:cfRule>
          <x14:cfRule type="expression" priority="1315" id="{C84953E1-2852-44B1-AB7F-46C3B2479477}">
            <xm:f>VLOOKUP(K25,Calendars!$O$1:$U$398,MATCH($X$1,Calendars!$O$1:$U$1,0),FALSE)="Holiday"</xm:f>
            <x14:dxf>
              <fill>
                <patternFill>
                  <bgColor rgb="FFFF99FF"/>
                </patternFill>
              </fill>
              <border>
                <bottom/>
              </border>
            </x14:dxf>
          </x14:cfRule>
          <xm:sqref>K24</xm:sqref>
        </x14:conditionalFormatting>
        <x14:conditionalFormatting xmlns:xm="http://schemas.microsoft.com/office/excel/2006/main">
          <x14:cfRule type="expression" priority="1295" id="{2D4FEFE2-3A07-4E87-A160-503D4A63075D}">
            <xm:f>AND(VLOOKUP(L25,Calendars!$O$1:$U$398,MATCH($X$1,Calendars!$O$1:$U$1,0),FALSE)="Non Contract",$C$5&gt;0)</xm:f>
            <x14:dxf>
              <fill>
                <patternFill patternType="solid">
                  <fgColor theme="4" tint="0.79998168889431442"/>
                  <bgColor theme="8" tint="0.79995117038483843"/>
                </patternFill>
              </fill>
            </x14:dxf>
          </x14:cfRule>
          <xm:sqref>L24:N24</xm:sqref>
        </x14:conditionalFormatting>
        <x14:conditionalFormatting xmlns:xm="http://schemas.microsoft.com/office/excel/2006/main">
          <x14:cfRule type="expression" priority="1305" id="{7A8F1978-02F0-4D84-B1C7-95DFFD9ACE39}">
            <xm:f>AND(VLOOKUP(L25,Calendars!$O$1:$U$398,MATCH($X$1,Calendars!$O$1:$U$1,0),FALSE)="",L24=0)</xm:f>
            <x14:dxf>
              <fill>
                <patternFill>
                  <bgColor theme="7" tint="0.79998168889431442"/>
                </patternFill>
              </fill>
            </x14:dxf>
          </x14:cfRule>
          <xm:sqref>L24:N24</xm:sqref>
        </x14:conditionalFormatting>
        <x14:conditionalFormatting xmlns:xm="http://schemas.microsoft.com/office/excel/2006/main">
          <x14:cfRule type="expression" priority="1294" id="{0D05286E-EA1D-4722-BAB5-5DC0A332B5C2}">
            <xm:f>VLOOKUP(L25,Calendars!$O$1:$U$398,MATCH($X$1,Calendars!$O$1:$U$1,0),FALSE)="Non Contract"</xm:f>
            <x14:dxf>
              <fill>
                <patternFill patternType="lightDown"/>
              </fill>
              <border>
                <bottom/>
              </border>
            </x14:dxf>
          </x14:cfRule>
          <x14:cfRule type="expression" priority="1303" id="{ACEF90D9-7C63-437D-967A-94D1BA39FA71}">
            <xm:f>VLOOKUP(L25,Calendars!$O$1:$U$398,MATCH($X$1,Calendars!$O$1:$U$1,0),FALSE)="Holiday"</xm:f>
            <x14:dxf>
              <fill>
                <patternFill>
                  <bgColor rgb="FFFF99FF"/>
                </patternFill>
              </fill>
              <border>
                <bottom/>
              </border>
            </x14:dxf>
          </x14:cfRule>
          <xm:sqref>L24:N24</xm:sqref>
        </x14:conditionalFormatting>
        <x14:conditionalFormatting xmlns:xm="http://schemas.microsoft.com/office/excel/2006/main">
          <x14:cfRule type="expression" priority="1283" id="{CE9F3D55-DE33-4C8D-B478-D52A60182C92}">
            <xm:f>AND(VLOOKUP(Q17,Calendars!$O$1:$U$398,MATCH($X$1,Calendars!$O$1:$U$1,0),FALSE)="Non Contract",$C$5&gt;0)</xm:f>
            <x14:dxf>
              <fill>
                <patternFill patternType="solid">
                  <fgColor theme="4" tint="0.79998168889431442"/>
                  <bgColor theme="8" tint="0.79995117038483843"/>
                </patternFill>
              </fill>
            </x14:dxf>
          </x14:cfRule>
          <xm:sqref>Q16</xm:sqref>
        </x14:conditionalFormatting>
        <x14:conditionalFormatting xmlns:xm="http://schemas.microsoft.com/office/excel/2006/main">
          <x14:cfRule type="expression" priority="1293" id="{2B8B1DBD-3149-4851-B06A-C9F847536D29}">
            <xm:f>AND(VLOOKUP(Q17,Calendars!$O$1:$U$398,MATCH($X$1,Calendars!$O$1:$U$1,0),FALSE)="",Q16=0)</xm:f>
            <x14:dxf>
              <fill>
                <patternFill>
                  <bgColor theme="7" tint="0.79998168889431442"/>
                </patternFill>
              </fill>
            </x14:dxf>
          </x14:cfRule>
          <xm:sqref>Q16</xm:sqref>
        </x14:conditionalFormatting>
        <x14:conditionalFormatting xmlns:xm="http://schemas.microsoft.com/office/excel/2006/main">
          <x14:cfRule type="expression" priority="1282" id="{369851E0-719F-41A6-BB20-13CF1006EE95}">
            <xm:f>VLOOKUP(Q17,Calendars!$O$1:$U$398,MATCH($X$1,Calendars!$O$1:$U$1,0),FALSE)="Non Contract"</xm:f>
            <x14:dxf>
              <fill>
                <patternFill patternType="lightDown"/>
              </fill>
              <border>
                <bottom/>
              </border>
            </x14:dxf>
          </x14:cfRule>
          <x14:cfRule type="expression" priority="1291" id="{38D15850-9FA4-4008-8754-4194DB755A4D}">
            <xm:f>VLOOKUP(Q17,Calendars!$O$1:$U$398,MATCH($X$1,Calendars!$O$1:$U$1,0),FALSE)="Holiday"</xm:f>
            <x14:dxf>
              <fill>
                <patternFill>
                  <bgColor rgb="FFFF99FF"/>
                </patternFill>
              </fill>
              <border>
                <bottom/>
              </border>
            </x14:dxf>
          </x14:cfRule>
          <xm:sqref>Q16</xm:sqref>
        </x14:conditionalFormatting>
        <x14:conditionalFormatting xmlns:xm="http://schemas.microsoft.com/office/excel/2006/main">
          <x14:cfRule type="expression" priority="1271" id="{C275FD1A-2A34-48C9-BC40-EA8D2876BBC2}">
            <xm:f>AND(VLOOKUP(R17,Calendars!$O$1:$U$398,MATCH($X$1,Calendars!$O$1:$U$1,0),FALSE)="Non Contract",$C$5&gt;0)</xm:f>
            <x14:dxf>
              <fill>
                <patternFill patternType="solid">
                  <fgColor theme="4" tint="0.79998168889431442"/>
                  <bgColor theme="8" tint="0.79995117038483843"/>
                </patternFill>
              </fill>
            </x14:dxf>
          </x14:cfRule>
          <xm:sqref>R16</xm:sqref>
        </x14:conditionalFormatting>
        <x14:conditionalFormatting xmlns:xm="http://schemas.microsoft.com/office/excel/2006/main">
          <x14:cfRule type="expression" priority="1281" id="{4C66DFA8-3A44-470B-B339-29823344C3FA}">
            <xm:f>AND(VLOOKUP(R17,Calendars!$O$1:$U$398,MATCH($X$1,Calendars!$O$1:$U$1,0),FALSE)="",R16=0)</xm:f>
            <x14:dxf>
              <fill>
                <patternFill>
                  <bgColor theme="7" tint="0.79998168889431442"/>
                </patternFill>
              </fill>
            </x14:dxf>
          </x14:cfRule>
          <xm:sqref>R16</xm:sqref>
        </x14:conditionalFormatting>
        <x14:conditionalFormatting xmlns:xm="http://schemas.microsoft.com/office/excel/2006/main">
          <x14:cfRule type="expression" priority="1270" id="{59232FD5-3873-4B07-9FF1-2C24675A01F3}">
            <xm:f>VLOOKUP(R17,Calendars!$O$1:$U$398,MATCH($X$1,Calendars!$O$1:$U$1,0),FALSE)="Non Contract"</xm:f>
            <x14:dxf>
              <fill>
                <patternFill patternType="lightDown"/>
              </fill>
              <border>
                <bottom/>
              </border>
            </x14:dxf>
          </x14:cfRule>
          <x14:cfRule type="expression" priority="1279" id="{FF372DF6-80A8-4810-83FD-966A7E723636}">
            <xm:f>VLOOKUP(R17,Calendars!$O$1:$U$398,MATCH($X$1,Calendars!$O$1:$U$1,0),FALSE)="Holiday"</xm:f>
            <x14:dxf>
              <fill>
                <patternFill>
                  <bgColor rgb="FFFF99FF"/>
                </patternFill>
              </fill>
              <border>
                <bottom/>
              </border>
            </x14:dxf>
          </x14:cfRule>
          <xm:sqref>R16</xm:sqref>
        </x14:conditionalFormatting>
        <x14:conditionalFormatting xmlns:xm="http://schemas.microsoft.com/office/excel/2006/main">
          <x14:cfRule type="expression" priority="1259" id="{E9BAD81B-5056-40BD-B77E-CD47EBBCB2C7}">
            <xm:f>AND(VLOOKUP(S17,Calendars!$O$1:$U$398,MATCH($X$1,Calendars!$O$1:$U$1,0),FALSE)="Non Contract",$C$5&gt;0)</xm:f>
            <x14:dxf>
              <fill>
                <patternFill patternType="solid">
                  <fgColor theme="4" tint="0.79998168889431442"/>
                  <bgColor theme="8" tint="0.79995117038483843"/>
                </patternFill>
              </fill>
            </x14:dxf>
          </x14:cfRule>
          <xm:sqref>S16:U16</xm:sqref>
        </x14:conditionalFormatting>
        <x14:conditionalFormatting xmlns:xm="http://schemas.microsoft.com/office/excel/2006/main">
          <x14:cfRule type="expression" priority="1269" id="{36CAE506-B79A-42E6-AF94-951CB503A56F}">
            <xm:f>AND(VLOOKUP(S17,Calendars!$O$1:$U$398,MATCH($X$1,Calendars!$O$1:$U$1,0),FALSE)="",S16=0)</xm:f>
            <x14:dxf>
              <fill>
                <patternFill>
                  <bgColor theme="7" tint="0.79998168889431442"/>
                </patternFill>
              </fill>
            </x14:dxf>
          </x14:cfRule>
          <xm:sqref>S16:U16</xm:sqref>
        </x14:conditionalFormatting>
        <x14:conditionalFormatting xmlns:xm="http://schemas.microsoft.com/office/excel/2006/main">
          <x14:cfRule type="expression" priority="1258" id="{68CFD12B-A479-4DAB-B397-7266DD354944}">
            <xm:f>VLOOKUP(S17,Calendars!$O$1:$U$398,MATCH($X$1,Calendars!$O$1:$U$1,0),FALSE)="Non Contract"</xm:f>
            <x14:dxf>
              <fill>
                <patternFill patternType="lightDown"/>
              </fill>
              <border>
                <bottom/>
              </border>
            </x14:dxf>
          </x14:cfRule>
          <x14:cfRule type="expression" priority="1267" id="{3A513051-DF3C-4005-9254-B453365FA55B}">
            <xm:f>VLOOKUP(S17,Calendars!$O$1:$U$398,MATCH($X$1,Calendars!$O$1:$U$1,0),FALSE)="Holiday"</xm:f>
            <x14:dxf>
              <fill>
                <patternFill>
                  <bgColor rgb="FFFF99FF"/>
                </patternFill>
              </fill>
              <border>
                <bottom/>
              </border>
            </x14:dxf>
          </x14:cfRule>
          <xm:sqref>S16:U16</xm:sqref>
        </x14:conditionalFormatting>
        <x14:conditionalFormatting xmlns:xm="http://schemas.microsoft.com/office/excel/2006/main">
          <x14:cfRule type="expression" priority="1247" id="{E591E2F1-1DC8-43FE-A271-E3B1CFBAC3E1}">
            <xm:f>AND(VLOOKUP(Q19,Calendars!$O$1:$U$398,MATCH($X$1,Calendars!$O$1:$U$1,0),FALSE)="Non Contract",$C$5&gt;0)</xm:f>
            <x14:dxf>
              <fill>
                <patternFill patternType="solid">
                  <fgColor theme="4" tint="0.79998168889431442"/>
                  <bgColor theme="8" tint="0.79995117038483843"/>
                </patternFill>
              </fill>
            </x14:dxf>
          </x14:cfRule>
          <xm:sqref>Q18</xm:sqref>
        </x14:conditionalFormatting>
        <x14:conditionalFormatting xmlns:xm="http://schemas.microsoft.com/office/excel/2006/main">
          <x14:cfRule type="expression" priority="1257" id="{5387F450-6FDA-483C-A5FF-B5D49E0567D5}">
            <xm:f>AND(VLOOKUP(Q19,Calendars!$O$1:$U$398,MATCH($X$1,Calendars!$O$1:$U$1,0),FALSE)="",Q18=0)</xm:f>
            <x14:dxf>
              <fill>
                <patternFill>
                  <bgColor theme="7" tint="0.79998168889431442"/>
                </patternFill>
              </fill>
            </x14:dxf>
          </x14:cfRule>
          <xm:sqref>Q18</xm:sqref>
        </x14:conditionalFormatting>
        <x14:conditionalFormatting xmlns:xm="http://schemas.microsoft.com/office/excel/2006/main">
          <x14:cfRule type="expression" priority="1246" id="{EFBEFA82-63A8-4D44-8FB7-EF925E5FB61F}">
            <xm:f>VLOOKUP(Q19,Calendars!$O$1:$U$398,MATCH($X$1,Calendars!$O$1:$U$1,0),FALSE)="Non Contract"</xm:f>
            <x14:dxf>
              <fill>
                <patternFill patternType="lightDown"/>
              </fill>
              <border>
                <bottom/>
              </border>
            </x14:dxf>
          </x14:cfRule>
          <x14:cfRule type="expression" priority="1255" id="{D8A79FC4-C41E-4598-B099-B86D378A1069}">
            <xm:f>VLOOKUP(Q19,Calendars!$O$1:$U$398,MATCH($X$1,Calendars!$O$1:$U$1,0),FALSE)="Holiday"</xm:f>
            <x14:dxf>
              <fill>
                <patternFill>
                  <bgColor rgb="FFFF99FF"/>
                </patternFill>
              </fill>
              <border>
                <bottom/>
              </border>
            </x14:dxf>
          </x14:cfRule>
          <xm:sqref>Q18</xm:sqref>
        </x14:conditionalFormatting>
        <x14:conditionalFormatting xmlns:xm="http://schemas.microsoft.com/office/excel/2006/main">
          <x14:cfRule type="expression" priority="1235" id="{369A5225-324B-45E9-B8A6-A711E6D3BB85}">
            <xm:f>AND(VLOOKUP(R19,Calendars!$O$1:$U$398,MATCH($X$1,Calendars!$O$1:$U$1,0),FALSE)="Non Contract",$C$5&gt;0)</xm:f>
            <x14:dxf>
              <fill>
                <patternFill patternType="solid">
                  <fgColor theme="4" tint="0.79998168889431442"/>
                  <bgColor theme="8" tint="0.79995117038483843"/>
                </patternFill>
              </fill>
            </x14:dxf>
          </x14:cfRule>
          <xm:sqref>R18</xm:sqref>
        </x14:conditionalFormatting>
        <x14:conditionalFormatting xmlns:xm="http://schemas.microsoft.com/office/excel/2006/main">
          <x14:cfRule type="expression" priority="1245" id="{BF3F8114-929D-4572-9E25-4583EC87BBED}">
            <xm:f>AND(VLOOKUP(R19,Calendars!$O$1:$U$398,MATCH($X$1,Calendars!$O$1:$U$1,0),FALSE)="",R18=0)</xm:f>
            <x14:dxf>
              <fill>
                <patternFill>
                  <bgColor theme="7" tint="0.79998168889431442"/>
                </patternFill>
              </fill>
            </x14:dxf>
          </x14:cfRule>
          <xm:sqref>R18</xm:sqref>
        </x14:conditionalFormatting>
        <x14:conditionalFormatting xmlns:xm="http://schemas.microsoft.com/office/excel/2006/main">
          <x14:cfRule type="expression" priority="1234" id="{F3A28400-D6CE-424B-A089-96FF3565AC60}">
            <xm:f>VLOOKUP(R19,Calendars!$O$1:$U$398,MATCH($X$1,Calendars!$O$1:$U$1,0),FALSE)="Non Contract"</xm:f>
            <x14:dxf>
              <fill>
                <patternFill patternType="lightDown"/>
              </fill>
              <border>
                <bottom/>
              </border>
            </x14:dxf>
          </x14:cfRule>
          <x14:cfRule type="expression" priority="1243" id="{BD1390B4-6931-4513-A134-96BAFD373C73}">
            <xm:f>VLOOKUP(R19,Calendars!$O$1:$U$398,MATCH($X$1,Calendars!$O$1:$U$1,0),FALSE)="Holiday"</xm:f>
            <x14:dxf>
              <fill>
                <patternFill>
                  <bgColor rgb="FFFF99FF"/>
                </patternFill>
              </fill>
              <border>
                <bottom/>
              </border>
            </x14:dxf>
          </x14:cfRule>
          <xm:sqref>R18</xm:sqref>
        </x14:conditionalFormatting>
        <x14:conditionalFormatting xmlns:xm="http://schemas.microsoft.com/office/excel/2006/main">
          <x14:cfRule type="expression" priority="1223" id="{F91FE023-CD0B-439C-9A05-0F0519596B36}">
            <xm:f>AND(VLOOKUP(S19,Calendars!$O$1:$U$398,MATCH($X$1,Calendars!$O$1:$U$1,0),FALSE)="Non Contract",$C$5&gt;0)</xm:f>
            <x14:dxf>
              <fill>
                <patternFill patternType="solid">
                  <fgColor theme="4" tint="0.79998168889431442"/>
                  <bgColor theme="8" tint="0.79995117038483843"/>
                </patternFill>
              </fill>
            </x14:dxf>
          </x14:cfRule>
          <xm:sqref>S18:U18</xm:sqref>
        </x14:conditionalFormatting>
        <x14:conditionalFormatting xmlns:xm="http://schemas.microsoft.com/office/excel/2006/main">
          <x14:cfRule type="expression" priority="1233" id="{FA0AF094-3B38-4FCC-BAD1-399AC5FCD5AB}">
            <xm:f>AND(VLOOKUP(S19,Calendars!$O$1:$U$398,MATCH($X$1,Calendars!$O$1:$U$1,0),FALSE)="",S18=0)</xm:f>
            <x14:dxf>
              <fill>
                <patternFill>
                  <bgColor theme="7" tint="0.79998168889431442"/>
                </patternFill>
              </fill>
            </x14:dxf>
          </x14:cfRule>
          <xm:sqref>S18:U18</xm:sqref>
        </x14:conditionalFormatting>
        <x14:conditionalFormatting xmlns:xm="http://schemas.microsoft.com/office/excel/2006/main">
          <x14:cfRule type="expression" priority="1222" id="{0412B183-C9BD-4C0A-9069-5C6A9C6DE276}">
            <xm:f>VLOOKUP(S19,Calendars!$O$1:$U$398,MATCH($X$1,Calendars!$O$1:$U$1,0),FALSE)="Non Contract"</xm:f>
            <x14:dxf>
              <fill>
                <patternFill patternType="lightDown"/>
              </fill>
              <border>
                <bottom/>
              </border>
            </x14:dxf>
          </x14:cfRule>
          <x14:cfRule type="expression" priority="1231" id="{916846A2-8838-4280-83FD-221431876233}">
            <xm:f>VLOOKUP(S19,Calendars!$O$1:$U$398,MATCH($X$1,Calendars!$O$1:$U$1,0),FALSE)="Holiday"</xm:f>
            <x14:dxf>
              <fill>
                <patternFill>
                  <bgColor rgb="FFFF99FF"/>
                </patternFill>
              </fill>
              <border>
                <bottom/>
              </border>
            </x14:dxf>
          </x14:cfRule>
          <xm:sqref>S18:U18</xm:sqref>
        </x14:conditionalFormatting>
        <x14:conditionalFormatting xmlns:xm="http://schemas.microsoft.com/office/excel/2006/main">
          <x14:cfRule type="expression" priority="1211" id="{56A6F295-8A46-42F0-8390-94FC800938C1}">
            <xm:f>AND(VLOOKUP(Q21,Calendars!$O$1:$U$398,MATCH($X$1,Calendars!$O$1:$U$1,0),FALSE)="Non Contract",$C$5&gt;0)</xm:f>
            <x14:dxf>
              <fill>
                <patternFill patternType="solid">
                  <fgColor theme="4" tint="0.79998168889431442"/>
                  <bgColor theme="8" tint="0.79995117038483843"/>
                </patternFill>
              </fill>
            </x14:dxf>
          </x14:cfRule>
          <xm:sqref>Q20</xm:sqref>
        </x14:conditionalFormatting>
        <x14:conditionalFormatting xmlns:xm="http://schemas.microsoft.com/office/excel/2006/main">
          <x14:cfRule type="expression" priority="1221" id="{9411A5A3-55CC-4821-9829-DF5302B4FCC8}">
            <xm:f>AND(VLOOKUP(Q21,Calendars!$O$1:$U$398,MATCH($X$1,Calendars!$O$1:$U$1,0),FALSE)="",Q20=0)</xm:f>
            <x14:dxf>
              <fill>
                <patternFill>
                  <bgColor theme="7" tint="0.79998168889431442"/>
                </patternFill>
              </fill>
            </x14:dxf>
          </x14:cfRule>
          <xm:sqref>Q20</xm:sqref>
        </x14:conditionalFormatting>
        <x14:conditionalFormatting xmlns:xm="http://schemas.microsoft.com/office/excel/2006/main">
          <x14:cfRule type="expression" priority="1210" id="{8E108326-14CB-4CC2-B193-3637D8D04744}">
            <xm:f>VLOOKUP(Q21,Calendars!$O$1:$U$398,MATCH($X$1,Calendars!$O$1:$U$1,0),FALSE)="Non Contract"</xm:f>
            <x14:dxf>
              <fill>
                <patternFill patternType="lightDown"/>
              </fill>
              <border>
                <bottom/>
              </border>
            </x14:dxf>
          </x14:cfRule>
          <x14:cfRule type="expression" priority="1219" id="{3E77A76C-7550-4B97-A5AB-452FC8D8053B}">
            <xm:f>VLOOKUP(Q21,Calendars!$O$1:$U$398,MATCH($X$1,Calendars!$O$1:$U$1,0),FALSE)="Holiday"</xm:f>
            <x14:dxf>
              <fill>
                <patternFill>
                  <bgColor rgb="FFFF99FF"/>
                </patternFill>
              </fill>
              <border>
                <bottom/>
              </border>
            </x14:dxf>
          </x14:cfRule>
          <xm:sqref>Q20</xm:sqref>
        </x14:conditionalFormatting>
        <x14:conditionalFormatting xmlns:xm="http://schemas.microsoft.com/office/excel/2006/main">
          <x14:cfRule type="expression" priority="1199" id="{E423BEEC-87AC-48C5-B486-5BFD520B543E}">
            <xm:f>AND(VLOOKUP(R21,Calendars!$O$1:$U$398,MATCH($X$1,Calendars!$O$1:$U$1,0),FALSE)="Non Contract",$C$5&gt;0)</xm:f>
            <x14:dxf>
              <fill>
                <patternFill patternType="solid">
                  <fgColor theme="4" tint="0.79998168889431442"/>
                  <bgColor theme="8" tint="0.79995117038483843"/>
                </patternFill>
              </fill>
            </x14:dxf>
          </x14:cfRule>
          <xm:sqref>R20</xm:sqref>
        </x14:conditionalFormatting>
        <x14:conditionalFormatting xmlns:xm="http://schemas.microsoft.com/office/excel/2006/main">
          <x14:cfRule type="expression" priority="1209" id="{732D68CC-DD9F-4B34-81A5-D801914EB865}">
            <xm:f>AND(VLOOKUP(R21,Calendars!$O$1:$U$398,MATCH($X$1,Calendars!$O$1:$U$1,0),FALSE)="",R20=0)</xm:f>
            <x14:dxf>
              <fill>
                <patternFill>
                  <bgColor theme="7" tint="0.79998168889431442"/>
                </patternFill>
              </fill>
            </x14:dxf>
          </x14:cfRule>
          <xm:sqref>R20</xm:sqref>
        </x14:conditionalFormatting>
        <x14:conditionalFormatting xmlns:xm="http://schemas.microsoft.com/office/excel/2006/main">
          <x14:cfRule type="expression" priority="1198" id="{97338166-D5C1-4856-B072-419BE896365F}">
            <xm:f>VLOOKUP(R21,Calendars!$O$1:$U$398,MATCH($X$1,Calendars!$O$1:$U$1,0),FALSE)="Non Contract"</xm:f>
            <x14:dxf>
              <fill>
                <patternFill patternType="lightDown"/>
              </fill>
              <border>
                <bottom/>
              </border>
            </x14:dxf>
          </x14:cfRule>
          <x14:cfRule type="expression" priority="1207" id="{E71CEDDE-033F-48AA-9E67-B4010623143B}">
            <xm:f>VLOOKUP(R21,Calendars!$O$1:$U$398,MATCH($X$1,Calendars!$O$1:$U$1,0),FALSE)="Holiday"</xm:f>
            <x14:dxf>
              <fill>
                <patternFill>
                  <bgColor rgb="FFFF99FF"/>
                </patternFill>
              </fill>
              <border>
                <bottom/>
              </border>
            </x14:dxf>
          </x14:cfRule>
          <xm:sqref>R20</xm:sqref>
        </x14:conditionalFormatting>
        <x14:conditionalFormatting xmlns:xm="http://schemas.microsoft.com/office/excel/2006/main">
          <x14:cfRule type="expression" priority="1187" id="{0571C523-D179-43B9-89F6-B822AF3DB495}">
            <xm:f>AND(VLOOKUP(S21,Calendars!$O$1:$U$398,MATCH($X$1,Calendars!$O$1:$U$1,0),FALSE)="Non Contract",$C$5&gt;0)</xm:f>
            <x14:dxf>
              <fill>
                <patternFill patternType="solid">
                  <fgColor theme="4" tint="0.79998168889431442"/>
                  <bgColor theme="8" tint="0.79995117038483843"/>
                </patternFill>
              </fill>
            </x14:dxf>
          </x14:cfRule>
          <xm:sqref>S20:U20</xm:sqref>
        </x14:conditionalFormatting>
        <x14:conditionalFormatting xmlns:xm="http://schemas.microsoft.com/office/excel/2006/main">
          <x14:cfRule type="expression" priority="1197" id="{96F840D2-2A76-4BDD-9430-38636EF46764}">
            <xm:f>AND(VLOOKUP(S21,Calendars!$O$1:$U$398,MATCH($X$1,Calendars!$O$1:$U$1,0),FALSE)="",S20=0)</xm:f>
            <x14:dxf>
              <fill>
                <patternFill>
                  <bgColor theme="7" tint="0.79998168889431442"/>
                </patternFill>
              </fill>
            </x14:dxf>
          </x14:cfRule>
          <xm:sqref>S20:U20</xm:sqref>
        </x14:conditionalFormatting>
        <x14:conditionalFormatting xmlns:xm="http://schemas.microsoft.com/office/excel/2006/main">
          <x14:cfRule type="expression" priority="1186" id="{063FDB05-573E-4E2F-AFEB-F06EA5723568}">
            <xm:f>VLOOKUP(S21,Calendars!$O$1:$U$398,MATCH($X$1,Calendars!$O$1:$U$1,0),FALSE)="Non Contract"</xm:f>
            <x14:dxf>
              <fill>
                <patternFill patternType="lightDown"/>
              </fill>
              <border>
                <bottom/>
              </border>
            </x14:dxf>
          </x14:cfRule>
          <x14:cfRule type="expression" priority="1195" id="{E0B4ACDD-FC5E-4564-9013-E9A94DC9D133}">
            <xm:f>VLOOKUP(S21,Calendars!$O$1:$U$398,MATCH($X$1,Calendars!$O$1:$U$1,0),FALSE)="Holiday"</xm:f>
            <x14:dxf>
              <fill>
                <patternFill>
                  <bgColor rgb="FFFF99FF"/>
                </patternFill>
              </fill>
              <border>
                <bottom/>
              </border>
            </x14:dxf>
          </x14:cfRule>
          <xm:sqref>S20:U20</xm:sqref>
        </x14:conditionalFormatting>
        <x14:conditionalFormatting xmlns:xm="http://schemas.microsoft.com/office/excel/2006/main">
          <x14:cfRule type="expression" priority="1175" id="{8332639E-262F-43EE-B89C-59FB176CA23A}">
            <xm:f>AND(VLOOKUP(Q23,Calendars!$O$1:$U$398,MATCH($X$1,Calendars!$O$1:$U$1,0),FALSE)="Non Contract",$C$5&gt;0)</xm:f>
            <x14:dxf>
              <fill>
                <patternFill patternType="solid">
                  <fgColor theme="4" tint="0.79998168889431442"/>
                  <bgColor theme="8" tint="0.79995117038483843"/>
                </patternFill>
              </fill>
            </x14:dxf>
          </x14:cfRule>
          <xm:sqref>Q22</xm:sqref>
        </x14:conditionalFormatting>
        <x14:conditionalFormatting xmlns:xm="http://schemas.microsoft.com/office/excel/2006/main">
          <x14:cfRule type="expression" priority="1185" id="{314A1E23-B517-433F-A863-33D74238672F}">
            <xm:f>AND(VLOOKUP(Q23,Calendars!$O$1:$U$398,MATCH($X$1,Calendars!$O$1:$U$1,0),FALSE)="",Q22=0)</xm:f>
            <x14:dxf>
              <fill>
                <patternFill>
                  <bgColor theme="7" tint="0.79998168889431442"/>
                </patternFill>
              </fill>
            </x14:dxf>
          </x14:cfRule>
          <xm:sqref>Q22</xm:sqref>
        </x14:conditionalFormatting>
        <x14:conditionalFormatting xmlns:xm="http://schemas.microsoft.com/office/excel/2006/main">
          <x14:cfRule type="expression" priority="1174" id="{AC6544ED-4D68-4664-BA8D-460A660EF547}">
            <xm:f>VLOOKUP(Q23,Calendars!$O$1:$U$398,MATCH($X$1,Calendars!$O$1:$U$1,0),FALSE)="Non Contract"</xm:f>
            <x14:dxf>
              <fill>
                <patternFill patternType="lightDown"/>
              </fill>
              <border>
                <bottom/>
              </border>
            </x14:dxf>
          </x14:cfRule>
          <x14:cfRule type="expression" priority="1183" id="{EA93A4CC-D774-46DC-9EAA-6E59C0596689}">
            <xm:f>VLOOKUP(Q23,Calendars!$O$1:$U$398,MATCH($X$1,Calendars!$O$1:$U$1,0),FALSE)="Holiday"</xm:f>
            <x14:dxf>
              <fill>
                <patternFill>
                  <bgColor rgb="FFFF99FF"/>
                </patternFill>
              </fill>
              <border>
                <bottom/>
              </border>
            </x14:dxf>
          </x14:cfRule>
          <xm:sqref>Q22</xm:sqref>
        </x14:conditionalFormatting>
        <x14:conditionalFormatting xmlns:xm="http://schemas.microsoft.com/office/excel/2006/main">
          <x14:cfRule type="expression" priority="1163" id="{583B54CC-E637-484D-B9F0-28C5E1284967}">
            <xm:f>AND(VLOOKUP(R23,Calendars!$O$1:$U$398,MATCH($X$1,Calendars!$O$1:$U$1,0),FALSE)="Non Contract",$C$5&gt;0)</xm:f>
            <x14:dxf>
              <fill>
                <patternFill patternType="solid">
                  <fgColor theme="4" tint="0.79998168889431442"/>
                  <bgColor theme="8" tint="0.79995117038483843"/>
                </patternFill>
              </fill>
            </x14:dxf>
          </x14:cfRule>
          <xm:sqref>R22</xm:sqref>
        </x14:conditionalFormatting>
        <x14:conditionalFormatting xmlns:xm="http://schemas.microsoft.com/office/excel/2006/main">
          <x14:cfRule type="expression" priority="1173" id="{A73011FE-F709-44AB-A39E-A488D416C80E}">
            <xm:f>AND(VLOOKUP(R23,Calendars!$O$1:$U$398,MATCH($X$1,Calendars!$O$1:$U$1,0),FALSE)="",R22=0)</xm:f>
            <x14:dxf>
              <fill>
                <patternFill>
                  <bgColor theme="7" tint="0.79998168889431442"/>
                </patternFill>
              </fill>
            </x14:dxf>
          </x14:cfRule>
          <xm:sqref>R22</xm:sqref>
        </x14:conditionalFormatting>
        <x14:conditionalFormatting xmlns:xm="http://schemas.microsoft.com/office/excel/2006/main">
          <x14:cfRule type="expression" priority="1162" id="{F43A23A5-F640-4F6B-AD74-D5DFACE5D399}">
            <xm:f>VLOOKUP(R23,Calendars!$O$1:$U$398,MATCH($X$1,Calendars!$O$1:$U$1,0),FALSE)="Non Contract"</xm:f>
            <x14:dxf>
              <fill>
                <patternFill patternType="lightDown"/>
              </fill>
              <border>
                <bottom/>
              </border>
            </x14:dxf>
          </x14:cfRule>
          <x14:cfRule type="expression" priority="1171" id="{373F614D-F64C-4B51-928C-F2842F598A3A}">
            <xm:f>VLOOKUP(R23,Calendars!$O$1:$U$398,MATCH($X$1,Calendars!$O$1:$U$1,0),FALSE)="Holiday"</xm:f>
            <x14:dxf>
              <fill>
                <patternFill>
                  <bgColor rgb="FFFF99FF"/>
                </patternFill>
              </fill>
              <border>
                <bottom/>
              </border>
            </x14:dxf>
          </x14:cfRule>
          <xm:sqref>R22</xm:sqref>
        </x14:conditionalFormatting>
        <x14:conditionalFormatting xmlns:xm="http://schemas.microsoft.com/office/excel/2006/main">
          <x14:cfRule type="expression" priority="1151" id="{3CDC5171-E9FC-4708-9721-639515186C1C}">
            <xm:f>AND(VLOOKUP(S23,Calendars!$O$1:$U$398,MATCH($X$1,Calendars!$O$1:$U$1,0),FALSE)="Non Contract",$C$5&gt;0)</xm:f>
            <x14:dxf>
              <fill>
                <patternFill patternType="solid">
                  <fgColor theme="4" tint="0.79998168889431442"/>
                  <bgColor theme="8" tint="0.79995117038483843"/>
                </patternFill>
              </fill>
            </x14:dxf>
          </x14:cfRule>
          <xm:sqref>S22:U22</xm:sqref>
        </x14:conditionalFormatting>
        <x14:conditionalFormatting xmlns:xm="http://schemas.microsoft.com/office/excel/2006/main">
          <x14:cfRule type="expression" priority="1161" id="{CA3A7E41-A5FB-44B9-8F41-B6B04716C2BD}">
            <xm:f>AND(VLOOKUP(S23,Calendars!$O$1:$U$398,MATCH($X$1,Calendars!$O$1:$U$1,0),FALSE)="",S22=0)</xm:f>
            <x14:dxf>
              <fill>
                <patternFill>
                  <bgColor theme="7" tint="0.79998168889431442"/>
                </patternFill>
              </fill>
            </x14:dxf>
          </x14:cfRule>
          <xm:sqref>S22:U22</xm:sqref>
        </x14:conditionalFormatting>
        <x14:conditionalFormatting xmlns:xm="http://schemas.microsoft.com/office/excel/2006/main">
          <x14:cfRule type="expression" priority="1150" id="{3E1C5853-14D4-420E-9871-D708ECD10631}">
            <xm:f>VLOOKUP(S23,Calendars!$O$1:$U$398,MATCH($X$1,Calendars!$O$1:$U$1,0),FALSE)="Non Contract"</xm:f>
            <x14:dxf>
              <fill>
                <patternFill patternType="lightDown"/>
              </fill>
              <border>
                <bottom/>
              </border>
            </x14:dxf>
          </x14:cfRule>
          <x14:cfRule type="expression" priority="1159" id="{D4CFF1DB-769E-4734-A48E-0AE1F7E07BFA}">
            <xm:f>VLOOKUP(S23,Calendars!$O$1:$U$398,MATCH($X$1,Calendars!$O$1:$U$1,0),FALSE)="Holiday"</xm:f>
            <x14:dxf>
              <fill>
                <patternFill>
                  <bgColor rgb="FFFF99FF"/>
                </patternFill>
              </fill>
              <border>
                <bottom/>
              </border>
            </x14:dxf>
          </x14:cfRule>
          <xm:sqref>S22:U22</xm:sqref>
        </x14:conditionalFormatting>
        <x14:conditionalFormatting xmlns:xm="http://schemas.microsoft.com/office/excel/2006/main">
          <x14:cfRule type="expression" priority="1139" id="{031FFD4E-8CD4-4466-9AF3-337C5A762255}">
            <xm:f>AND(VLOOKUP(Q25,Calendars!$O$1:$U$398,MATCH($X$1,Calendars!$O$1:$U$1,0),FALSE)="Non Contract",$C$5&gt;0)</xm:f>
            <x14:dxf>
              <fill>
                <patternFill patternType="solid">
                  <fgColor theme="4" tint="0.79998168889431442"/>
                  <bgColor theme="8" tint="0.79995117038483843"/>
                </patternFill>
              </fill>
            </x14:dxf>
          </x14:cfRule>
          <xm:sqref>Q24</xm:sqref>
        </x14:conditionalFormatting>
        <x14:conditionalFormatting xmlns:xm="http://schemas.microsoft.com/office/excel/2006/main">
          <x14:cfRule type="expression" priority="1149" id="{8208F095-DA4C-4024-98DC-0C8C25FF8958}">
            <xm:f>AND(VLOOKUP(Q25,Calendars!$O$1:$U$398,MATCH($X$1,Calendars!$O$1:$U$1,0),FALSE)="",Q24=0)</xm:f>
            <x14:dxf>
              <fill>
                <patternFill>
                  <bgColor theme="7" tint="0.79998168889431442"/>
                </patternFill>
              </fill>
            </x14:dxf>
          </x14:cfRule>
          <xm:sqref>Q24</xm:sqref>
        </x14:conditionalFormatting>
        <x14:conditionalFormatting xmlns:xm="http://schemas.microsoft.com/office/excel/2006/main">
          <x14:cfRule type="expression" priority="1138" id="{093CABFE-51C5-4D6E-BE88-9182E63AE74A}">
            <xm:f>VLOOKUP(Q25,Calendars!$O$1:$U$398,MATCH($X$1,Calendars!$O$1:$U$1,0),FALSE)="Non Contract"</xm:f>
            <x14:dxf>
              <fill>
                <patternFill patternType="lightDown"/>
              </fill>
              <border>
                <bottom/>
              </border>
            </x14:dxf>
          </x14:cfRule>
          <x14:cfRule type="expression" priority="1147" id="{5F897838-215E-4170-8EF6-FA3BE86561A9}">
            <xm:f>VLOOKUP(Q25,Calendars!$O$1:$U$398,MATCH($X$1,Calendars!$O$1:$U$1,0),FALSE)="Holiday"</xm:f>
            <x14:dxf>
              <fill>
                <patternFill>
                  <bgColor rgb="FFFF99FF"/>
                </patternFill>
              </fill>
              <border>
                <bottom/>
              </border>
            </x14:dxf>
          </x14:cfRule>
          <xm:sqref>Q24</xm:sqref>
        </x14:conditionalFormatting>
        <x14:conditionalFormatting xmlns:xm="http://schemas.microsoft.com/office/excel/2006/main">
          <x14:cfRule type="expression" priority="1127" id="{4D297505-7724-4B0A-A59C-FAC6DE2E4D73}">
            <xm:f>AND(VLOOKUP(R25,Calendars!$O$1:$U$398,MATCH($X$1,Calendars!$O$1:$U$1,0),FALSE)="Non Contract",$C$5&gt;0)</xm:f>
            <x14:dxf>
              <fill>
                <patternFill patternType="solid">
                  <fgColor theme="4" tint="0.79998168889431442"/>
                  <bgColor theme="8" tint="0.79995117038483843"/>
                </patternFill>
              </fill>
            </x14:dxf>
          </x14:cfRule>
          <xm:sqref>R24</xm:sqref>
        </x14:conditionalFormatting>
        <x14:conditionalFormatting xmlns:xm="http://schemas.microsoft.com/office/excel/2006/main">
          <x14:cfRule type="expression" priority="1137" id="{685F3BA5-9191-41DE-A904-92E99141F19D}">
            <xm:f>AND(VLOOKUP(R25,Calendars!$O$1:$U$398,MATCH($X$1,Calendars!$O$1:$U$1,0),FALSE)="",R24=0)</xm:f>
            <x14:dxf>
              <fill>
                <patternFill>
                  <bgColor theme="7" tint="0.79998168889431442"/>
                </patternFill>
              </fill>
            </x14:dxf>
          </x14:cfRule>
          <xm:sqref>R24</xm:sqref>
        </x14:conditionalFormatting>
        <x14:conditionalFormatting xmlns:xm="http://schemas.microsoft.com/office/excel/2006/main">
          <x14:cfRule type="expression" priority="1126" id="{59AC5862-D34D-4F50-BF17-8B82F234FE47}">
            <xm:f>VLOOKUP(R25,Calendars!$O$1:$U$398,MATCH($X$1,Calendars!$O$1:$U$1,0),FALSE)="Non Contract"</xm:f>
            <x14:dxf>
              <fill>
                <patternFill patternType="lightDown"/>
              </fill>
              <border>
                <bottom/>
              </border>
            </x14:dxf>
          </x14:cfRule>
          <x14:cfRule type="expression" priority="1135" id="{5CB997EE-FF64-4944-9439-AF53EA3FEAE5}">
            <xm:f>VLOOKUP(R25,Calendars!$O$1:$U$398,MATCH($X$1,Calendars!$O$1:$U$1,0),FALSE)="Holiday"</xm:f>
            <x14:dxf>
              <fill>
                <patternFill>
                  <bgColor rgb="FFFF99FF"/>
                </patternFill>
              </fill>
              <border>
                <bottom/>
              </border>
            </x14:dxf>
          </x14:cfRule>
          <xm:sqref>R24</xm:sqref>
        </x14:conditionalFormatting>
        <x14:conditionalFormatting xmlns:xm="http://schemas.microsoft.com/office/excel/2006/main">
          <x14:cfRule type="expression" priority="1115" id="{55BB6B1A-57F1-43D3-8A9F-F6C56CFFF670}">
            <xm:f>AND(VLOOKUP(S25,Calendars!$O$1:$U$398,MATCH($X$1,Calendars!$O$1:$U$1,0),FALSE)="Non Contract",$C$5&gt;0)</xm:f>
            <x14:dxf>
              <fill>
                <patternFill patternType="solid">
                  <fgColor theme="4" tint="0.79998168889431442"/>
                  <bgColor theme="8" tint="0.79995117038483843"/>
                </patternFill>
              </fill>
            </x14:dxf>
          </x14:cfRule>
          <xm:sqref>S24:U24</xm:sqref>
        </x14:conditionalFormatting>
        <x14:conditionalFormatting xmlns:xm="http://schemas.microsoft.com/office/excel/2006/main">
          <x14:cfRule type="expression" priority="1125" id="{B44E5939-90B8-43FE-A21D-4D622ED16F5E}">
            <xm:f>AND(VLOOKUP(S25,Calendars!$O$1:$U$398,MATCH($X$1,Calendars!$O$1:$U$1,0),FALSE)="",S24=0)</xm:f>
            <x14:dxf>
              <fill>
                <patternFill>
                  <bgColor theme="7" tint="0.79998168889431442"/>
                </patternFill>
              </fill>
            </x14:dxf>
          </x14:cfRule>
          <xm:sqref>S24:U24</xm:sqref>
        </x14:conditionalFormatting>
        <x14:conditionalFormatting xmlns:xm="http://schemas.microsoft.com/office/excel/2006/main">
          <x14:cfRule type="expression" priority="1114" id="{0C5A8C3E-D472-49FE-B53B-8578D1C47377}">
            <xm:f>VLOOKUP(S25,Calendars!$O$1:$U$398,MATCH($X$1,Calendars!$O$1:$U$1,0),FALSE)="Non Contract"</xm:f>
            <x14:dxf>
              <fill>
                <patternFill patternType="lightDown"/>
              </fill>
              <border>
                <bottom/>
              </border>
            </x14:dxf>
          </x14:cfRule>
          <x14:cfRule type="expression" priority="1123" id="{BCAB4E63-FA28-4D94-92E2-0643C680F214}">
            <xm:f>VLOOKUP(S25,Calendars!$O$1:$U$398,MATCH($X$1,Calendars!$O$1:$U$1,0),FALSE)="Holiday"</xm:f>
            <x14:dxf>
              <fill>
                <patternFill>
                  <bgColor rgb="FFFF99FF"/>
                </patternFill>
              </fill>
              <border>
                <bottom/>
              </border>
            </x14:dxf>
          </x14:cfRule>
          <xm:sqref>S24:U24</xm:sqref>
        </x14:conditionalFormatting>
        <x14:conditionalFormatting xmlns:xm="http://schemas.microsoft.com/office/excel/2006/main">
          <x14:cfRule type="expression" priority="1103" id="{A6104AB2-68D4-415B-AD9C-87E92E6EB8F9}">
            <xm:f>AND(VLOOKUP(X17,Calendars!$O$1:$U$398,MATCH($X$1,Calendars!$O$1:$U$1,0),FALSE)="Non Contract",$C$5&gt;0)</xm:f>
            <x14:dxf>
              <fill>
                <patternFill patternType="solid">
                  <fgColor theme="4" tint="0.79998168889431442"/>
                  <bgColor theme="8" tint="0.79995117038483843"/>
                </patternFill>
              </fill>
            </x14:dxf>
          </x14:cfRule>
          <xm:sqref>X16</xm:sqref>
        </x14:conditionalFormatting>
        <x14:conditionalFormatting xmlns:xm="http://schemas.microsoft.com/office/excel/2006/main">
          <x14:cfRule type="expression" priority="1113" id="{BEBA6117-288F-477D-92DE-F7ACAADD5B40}">
            <xm:f>AND(VLOOKUP(X17,Calendars!$O$1:$U$398,MATCH($X$1,Calendars!$O$1:$U$1,0),FALSE)="",X16=0)</xm:f>
            <x14:dxf>
              <fill>
                <patternFill>
                  <bgColor theme="7" tint="0.79998168889431442"/>
                </patternFill>
              </fill>
            </x14:dxf>
          </x14:cfRule>
          <xm:sqref>X16</xm:sqref>
        </x14:conditionalFormatting>
        <x14:conditionalFormatting xmlns:xm="http://schemas.microsoft.com/office/excel/2006/main">
          <x14:cfRule type="expression" priority="1102" id="{363E3055-EB56-4BB2-9140-5FE844425C44}">
            <xm:f>VLOOKUP(X17,Calendars!$O$1:$U$398,MATCH($X$1,Calendars!$O$1:$U$1,0),FALSE)="Non Contract"</xm:f>
            <x14:dxf>
              <fill>
                <patternFill patternType="lightDown"/>
              </fill>
              <border>
                <bottom/>
              </border>
            </x14:dxf>
          </x14:cfRule>
          <x14:cfRule type="expression" priority="1111" id="{4FF49BE8-14C4-4EBF-83CA-6BEEBF465691}">
            <xm:f>VLOOKUP(X17,Calendars!$O$1:$U$398,MATCH($X$1,Calendars!$O$1:$U$1,0),FALSE)="Holiday"</xm:f>
            <x14:dxf>
              <fill>
                <patternFill>
                  <bgColor rgb="FFFF99FF"/>
                </patternFill>
              </fill>
              <border>
                <bottom/>
              </border>
            </x14:dxf>
          </x14:cfRule>
          <xm:sqref>X16</xm:sqref>
        </x14:conditionalFormatting>
        <x14:conditionalFormatting xmlns:xm="http://schemas.microsoft.com/office/excel/2006/main">
          <x14:cfRule type="expression" priority="1091" id="{B3E70436-3A6B-42F0-B466-74132D2564EA}">
            <xm:f>AND(VLOOKUP(Y17,Calendars!$O$1:$U$398,MATCH($X$1,Calendars!$O$1:$U$1,0),FALSE)="Non Contract",$C$5&gt;0)</xm:f>
            <x14:dxf>
              <fill>
                <patternFill patternType="solid">
                  <fgColor theme="4" tint="0.79998168889431442"/>
                  <bgColor theme="8" tint="0.79995117038483843"/>
                </patternFill>
              </fill>
            </x14:dxf>
          </x14:cfRule>
          <xm:sqref>Y16</xm:sqref>
        </x14:conditionalFormatting>
        <x14:conditionalFormatting xmlns:xm="http://schemas.microsoft.com/office/excel/2006/main">
          <x14:cfRule type="expression" priority="1101" id="{EBA3D1B8-AF5F-47E0-8568-B0F29406E596}">
            <xm:f>AND(VLOOKUP(Y17,Calendars!$O$1:$U$398,MATCH($X$1,Calendars!$O$1:$U$1,0),FALSE)="",Y16=0)</xm:f>
            <x14:dxf>
              <fill>
                <patternFill>
                  <bgColor theme="7" tint="0.79998168889431442"/>
                </patternFill>
              </fill>
            </x14:dxf>
          </x14:cfRule>
          <xm:sqref>Y16</xm:sqref>
        </x14:conditionalFormatting>
        <x14:conditionalFormatting xmlns:xm="http://schemas.microsoft.com/office/excel/2006/main">
          <x14:cfRule type="expression" priority="1090" id="{F2896F77-5A98-42B6-A6CA-42997D0D1F7F}">
            <xm:f>VLOOKUP(Y17,Calendars!$O$1:$U$398,MATCH($X$1,Calendars!$O$1:$U$1,0),FALSE)="Non Contract"</xm:f>
            <x14:dxf>
              <fill>
                <patternFill patternType="lightDown"/>
              </fill>
              <border>
                <bottom/>
              </border>
            </x14:dxf>
          </x14:cfRule>
          <x14:cfRule type="expression" priority="1099" id="{C412935E-4B08-40BB-BF06-EFBC9C77C321}">
            <xm:f>VLOOKUP(Y17,Calendars!$O$1:$U$398,MATCH($X$1,Calendars!$O$1:$U$1,0),FALSE)="Holiday"</xm:f>
            <x14:dxf>
              <fill>
                <patternFill>
                  <bgColor rgb="FFFF99FF"/>
                </patternFill>
              </fill>
              <border>
                <bottom/>
              </border>
            </x14:dxf>
          </x14:cfRule>
          <xm:sqref>Y16</xm:sqref>
        </x14:conditionalFormatting>
        <x14:conditionalFormatting xmlns:xm="http://schemas.microsoft.com/office/excel/2006/main">
          <x14:cfRule type="expression" priority="1079" id="{CD85110B-14B3-4338-848A-5470E5257332}">
            <xm:f>AND(VLOOKUP(Z17,Calendars!$O$1:$U$398,MATCH($X$1,Calendars!$O$1:$U$1,0),FALSE)="Non Contract",$C$5&gt;0)</xm:f>
            <x14:dxf>
              <fill>
                <patternFill patternType="solid">
                  <fgColor theme="4" tint="0.79998168889431442"/>
                  <bgColor theme="8" tint="0.79995117038483843"/>
                </patternFill>
              </fill>
            </x14:dxf>
          </x14:cfRule>
          <xm:sqref>Z16:AB16</xm:sqref>
        </x14:conditionalFormatting>
        <x14:conditionalFormatting xmlns:xm="http://schemas.microsoft.com/office/excel/2006/main">
          <x14:cfRule type="expression" priority="1089" id="{FE1861D8-C3B8-448D-B888-8D367B276403}">
            <xm:f>AND(VLOOKUP(Z17,Calendars!$O$1:$U$398,MATCH($X$1,Calendars!$O$1:$U$1,0),FALSE)="",Z16=0)</xm:f>
            <x14:dxf>
              <fill>
                <patternFill>
                  <bgColor theme="7" tint="0.79998168889431442"/>
                </patternFill>
              </fill>
            </x14:dxf>
          </x14:cfRule>
          <xm:sqref>Z16:AB16</xm:sqref>
        </x14:conditionalFormatting>
        <x14:conditionalFormatting xmlns:xm="http://schemas.microsoft.com/office/excel/2006/main">
          <x14:cfRule type="expression" priority="1078" id="{CE2ABCC9-379B-413F-8D26-98EBAF599BB7}">
            <xm:f>VLOOKUP(Z17,Calendars!$O$1:$U$398,MATCH($X$1,Calendars!$O$1:$U$1,0),FALSE)="Non Contract"</xm:f>
            <x14:dxf>
              <fill>
                <patternFill patternType="lightDown"/>
              </fill>
              <border>
                <bottom/>
              </border>
            </x14:dxf>
          </x14:cfRule>
          <x14:cfRule type="expression" priority="1087" id="{CBBD3DF0-3430-49B9-9E17-0EBF46F6DF3B}">
            <xm:f>VLOOKUP(Z17,Calendars!$O$1:$U$398,MATCH($X$1,Calendars!$O$1:$U$1,0),FALSE)="Holiday"</xm:f>
            <x14:dxf>
              <fill>
                <patternFill>
                  <bgColor rgb="FFFF99FF"/>
                </patternFill>
              </fill>
              <border>
                <bottom/>
              </border>
            </x14:dxf>
          </x14:cfRule>
          <xm:sqref>Z16:AB16</xm:sqref>
        </x14:conditionalFormatting>
        <x14:conditionalFormatting xmlns:xm="http://schemas.microsoft.com/office/excel/2006/main">
          <x14:cfRule type="expression" priority="1067" id="{7BD07B07-DB3B-4020-A15C-DB89F1051EE5}">
            <xm:f>AND(VLOOKUP(X19,Calendars!$O$1:$U$398,MATCH($X$1,Calendars!$O$1:$U$1,0),FALSE)="Non Contract",$C$5&gt;0)</xm:f>
            <x14:dxf>
              <fill>
                <patternFill patternType="solid">
                  <fgColor theme="4" tint="0.79998168889431442"/>
                  <bgColor theme="8" tint="0.79995117038483843"/>
                </patternFill>
              </fill>
            </x14:dxf>
          </x14:cfRule>
          <xm:sqref>X18</xm:sqref>
        </x14:conditionalFormatting>
        <x14:conditionalFormatting xmlns:xm="http://schemas.microsoft.com/office/excel/2006/main">
          <x14:cfRule type="expression" priority="1077" id="{B5380F37-877D-48EA-A5B1-FA4440520B0F}">
            <xm:f>AND(VLOOKUP(X19,Calendars!$O$1:$U$398,MATCH($X$1,Calendars!$O$1:$U$1,0),FALSE)="",X18=0)</xm:f>
            <x14:dxf>
              <fill>
                <patternFill>
                  <bgColor theme="7" tint="0.79998168889431442"/>
                </patternFill>
              </fill>
            </x14:dxf>
          </x14:cfRule>
          <xm:sqref>X18</xm:sqref>
        </x14:conditionalFormatting>
        <x14:conditionalFormatting xmlns:xm="http://schemas.microsoft.com/office/excel/2006/main">
          <x14:cfRule type="expression" priority="1066" id="{F1AA5B4B-CF6A-4A36-A4A9-C20849157995}">
            <xm:f>VLOOKUP(X19,Calendars!$O$1:$U$398,MATCH($X$1,Calendars!$O$1:$U$1,0),FALSE)="Non Contract"</xm:f>
            <x14:dxf>
              <fill>
                <patternFill patternType="lightDown"/>
              </fill>
              <border>
                <bottom/>
              </border>
            </x14:dxf>
          </x14:cfRule>
          <x14:cfRule type="expression" priority="1075" id="{BFD945E5-268E-4828-B0B8-00A7EE919964}">
            <xm:f>VLOOKUP(X19,Calendars!$O$1:$U$398,MATCH($X$1,Calendars!$O$1:$U$1,0),FALSE)="Holiday"</xm:f>
            <x14:dxf>
              <fill>
                <patternFill>
                  <bgColor rgb="FFFF99FF"/>
                </patternFill>
              </fill>
              <border>
                <bottom/>
              </border>
            </x14:dxf>
          </x14:cfRule>
          <xm:sqref>X18</xm:sqref>
        </x14:conditionalFormatting>
        <x14:conditionalFormatting xmlns:xm="http://schemas.microsoft.com/office/excel/2006/main">
          <x14:cfRule type="expression" priority="1055" id="{9F0E95BB-0262-4C6B-9019-FFF6C8CF48F6}">
            <xm:f>AND(VLOOKUP(Y19,Calendars!$O$1:$U$398,MATCH($X$1,Calendars!$O$1:$U$1,0),FALSE)="Non Contract",$C$5&gt;0)</xm:f>
            <x14:dxf>
              <fill>
                <patternFill patternType="solid">
                  <fgColor theme="4" tint="0.79998168889431442"/>
                  <bgColor theme="8" tint="0.79995117038483843"/>
                </patternFill>
              </fill>
            </x14:dxf>
          </x14:cfRule>
          <xm:sqref>Y18</xm:sqref>
        </x14:conditionalFormatting>
        <x14:conditionalFormatting xmlns:xm="http://schemas.microsoft.com/office/excel/2006/main">
          <x14:cfRule type="expression" priority="1065" id="{7A4D0536-D69F-4C0B-975A-F34C1B043C51}">
            <xm:f>AND(VLOOKUP(Y19,Calendars!$O$1:$U$398,MATCH($X$1,Calendars!$O$1:$U$1,0),FALSE)="",Y18=0)</xm:f>
            <x14:dxf>
              <fill>
                <patternFill>
                  <bgColor theme="7" tint="0.79998168889431442"/>
                </patternFill>
              </fill>
            </x14:dxf>
          </x14:cfRule>
          <xm:sqref>Y18</xm:sqref>
        </x14:conditionalFormatting>
        <x14:conditionalFormatting xmlns:xm="http://schemas.microsoft.com/office/excel/2006/main">
          <x14:cfRule type="expression" priority="1054" id="{3E7803B4-8177-4287-A3FB-C40B414D1450}">
            <xm:f>VLOOKUP(Y19,Calendars!$O$1:$U$398,MATCH($X$1,Calendars!$O$1:$U$1,0),FALSE)="Non Contract"</xm:f>
            <x14:dxf>
              <fill>
                <patternFill patternType="lightDown"/>
              </fill>
              <border>
                <bottom/>
              </border>
            </x14:dxf>
          </x14:cfRule>
          <x14:cfRule type="expression" priority="1063" id="{1A9665E2-9917-400A-80D9-43C1689B02B6}">
            <xm:f>VLOOKUP(Y19,Calendars!$O$1:$U$398,MATCH($X$1,Calendars!$O$1:$U$1,0),FALSE)="Holiday"</xm:f>
            <x14:dxf>
              <fill>
                <patternFill>
                  <bgColor rgb="FFFF99FF"/>
                </patternFill>
              </fill>
              <border>
                <bottom/>
              </border>
            </x14:dxf>
          </x14:cfRule>
          <xm:sqref>Y18</xm:sqref>
        </x14:conditionalFormatting>
        <x14:conditionalFormatting xmlns:xm="http://schemas.microsoft.com/office/excel/2006/main">
          <x14:cfRule type="expression" priority="1043" id="{BF999CE7-B763-4732-AED6-AB6A42B40CC8}">
            <xm:f>AND(VLOOKUP(Z19,Calendars!$O$1:$U$398,MATCH($X$1,Calendars!$O$1:$U$1,0),FALSE)="Non Contract",$C$5&gt;0)</xm:f>
            <x14:dxf>
              <fill>
                <patternFill patternType="solid">
                  <fgColor theme="4" tint="0.79998168889431442"/>
                  <bgColor theme="8" tint="0.79995117038483843"/>
                </patternFill>
              </fill>
            </x14:dxf>
          </x14:cfRule>
          <xm:sqref>Z18:AB18</xm:sqref>
        </x14:conditionalFormatting>
        <x14:conditionalFormatting xmlns:xm="http://schemas.microsoft.com/office/excel/2006/main">
          <x14:cfRule type="expression" priority="1053" id="{52B7F976-CB6D-47CD-81C1-4A66D96EC513}">
            <xm:f>AND(VLOOKUP(Z19,Calendars!$O$1:$U$398,MATCH($X$1,Calendars!$O$1:$U$1,0),FALSE)="",Z18=0)</xm:f>
            <x14:dxf>
              <fill>
                <patternFill>
                  <bgColor theme="7" tint="0.79998168889431442"/>
                </patternFill>
              </fill>
            </x14:dxf>
          </x14:cfRule>
          <xm:sqref>Z18:AB18</xm:sqref>
        </x14:conditionalFormatting>
        <x14:conditionalFormatting xmlns:xm="http://schemas.microsoft.com/office/excel/2006/main">
          <x14:cfRule type="expression" priority="1042" id="{852937C1-EC35-44E7-BD3C-0D07A143E70F}">
            <xm:f>VLOOKUP(Z19,Calendars!$O$1:$U$398,MATCH($X$1,Calendars!$O$1:$U$1,0),FALSE)="Non Contract"</xm:f>
            <x14:dxf>
              <fill>
                <patternFill patternType="lightDown"/>
              </fill>
              <border>
                <bottom/>
              </border>
            </x14:dxf>
          </x14:cfRule>
          <x14:cfRule type="expression" priority="1051" id="{1A433CFB-FF62-4791-A98A-745221E26E89}">
            <xm:f>VLOOKUP(Z19,Calendars!$O$1:$U$398,MATCH($X$1,Calendars!$O$1:$U$1,0),FALSE)="Holiday"</xm:f>
            <x14:dxf>
              <fill>
                <patternFill>
                  <bgColor rgb="FFFF99FF"/>
                </patternFill>
              </fill>
              <border>
                <bottom/>
              </border>
            </x14:dxf>
          </x14:cfRule>
          <xm:sqref>Z18:AB18</xm:sqref>
        </x14:conditionalFormatting>
        <x14:conditionalFormatting xmlns:xm="http://schemas.microsoft.com/office/excel/2006/main">
          <x14:cfRule type="expression" priority="1031" id="{EA3D537A-E5ED-4A8E-AA65-A64833CAB901}">
            <xm:f>AND(VLOOKUP(X21,Calendars!$O$1:$U$398,MATCH($X$1,Calendars!$O$1:$U$1,0),FALSE)="Non Contract",$C$5&gt;0)</xm:f>
            <x14:dxf>
              <fill>
                <patternFill patternType="solid">
                  <fgColor theme="4" tint="0.79998168889431442"/>
                  <bgColor theme="8" tint="0.79995117038483843"/>
                </patternFill>
              </fill>
            </x14:dxf>
          </x14:cfRule>
          <xm:sqref>X20</xm:sqref>
        </x14:conditionalFormatting>
        <x14:conditionalFormatting xmlns:xm="http://schemas.microsoft.com/office/excel/2006/main">
          <x14:cfRule type="expression" priority="1041" id="{830C0D18-C2C9-48AC-A18F-0E0DD0F8E8B8}">
            <xm:f>AND(VLOOKUP(X21,Calendars!$O$1:$U$398,MATCH($X$1,Calendars!$O$1:$U$1,0),FALSE)="",X20=0)</xm:f>
            <x14:dxf>
              <fill>
                <patternFill>
                  <bgColor theme="7" tint="0.79998168889431442"/>
                </patternFill>
              </fill>
            </x14:dxf>
          </x14:cfRule>
          <xm:sqref>X20</xm:sqref>
        </x14:conditionalFormatting>
        <x14:conditionalFormatting xmlns:xm="http://schemas.microsoft.com/office/excel/2006/main">
          <x14:cfRule type="expression" priority="1030" id="{19FF2496-45F3-4B6C-8251-44D9EEFA66ED}">
            <xm:f>VLOOKUP(X21,Calendars!$O$1:$U$398,MATCH($X$1,Calendars!$O$1:$U$1,0),FALSE)="Non Contract"</xm:f>
            <x14:dxf>
              <fill>
                <patternFill patternType="lightDown"/>
              </fill>
              <border>
                <bottom/>
              </border>
            </x14:dxf>
          </x14:cfRule>
          <x14:cfRule type="expression" priority="1039" id="{7969BFB6-DD48-44FD-A2DC-A172F9CAD153}">
            <xm:f>VLOOKUP(X21,Calendars!$O$1:$U$398,MATCH($X$1,Calendars!$O$1:$U$1,0),FALSE)="Holiday"</xm:f>
            <x14:dxf>
              <fill>
                <patternFill>
                  <bgColor rgb="FFFF99FF"/>
                </patternFill>
              </fill>
              <border>
                <bottom/>
              </border>
            </x14:dxf>
          </x14:cfRule>
          <xm:sqref>X20</xm:sqref>
        </x14:conditionalFormatting>
        <x14:conditionalFormatting xmlns:xm="http://schemas.microsoft.com/office/excel/2006/main">
          <x14:cfRule type="expression" priority="1019" id="{D620E979-000C-463E-8C17-3B1C19992A71}">
            <xm:f>AND(VLOOKUP(Y21,Calendars!$O$1:$U$398,MATCH($X$1,Calendars!$O$1:$U$1,0),FALSE)="Non Contract",$C$5&gt;0)</xm:f>
            <x14:dxf>
              <fill>
                <patternFill patternType="solid">
                  <fgColor theme="4" tint="0.79998168889431442"/>
                  <bgColor theme="8" tint="0.79995117038483843"/>
                </patternFill>
              </fill>
            </x14:dxf>
          </x14:cfRule>
          <xm:sqref>Y20</xm:sqref>
        </x14:conditionalFormatting>
        <x14:conditionalFormatting xmlns:xm="http://schemas.microsoft.com/office/excel/2006/main">
          <x14:cfRule type="expression" priority="1029" id="{CE19D7B6-F127-4BCF-A68E-38A60ED13DEE}">
            <xm:f>AND(VLOOKUP(Y21,Calendars!$O$1:$U$398,MATCH($X$1,Calendars!$O$1:$U$1,0),FALSE)="",Y20=0)</xm:f>
            <x14:dxf>
              <fill>
                <patternFill>
                  <bgColor theme="7" tint="0.79998168889431442"/>
                </patternFill>
              </fill>
            </x14:dxf>
          </x14:cfRule>
          <xm:sqref>Y20</xm:sqref>
        </x14:conditionalFormatting>
        <x14:conditionalFormatting xmlns:xm="http://schemas.microsoft.com/office/excel/2006/main">
          <x14:cfRule type="expression" priority="1018" id="{DAD62F76-6416-4CA4-AA26-B511252D74E9}">
            <xm:f>VLOOKUP(Y21,Calendars!$O$1:$U$398,MATCH($X$1,Calendars!$O$1:$U$1,0),FALSE)="Non Contract"</xm:f>
            <x14:dxf>
              <fill>
                <patternFill patternType="lightDown"/>
              </fill>
              <border>
                <bottom/>
              </border>
            </x14:dxf>
          </x14:cfRule>
          <x14:cfRule type="expression" priority="1027" id="{052A5AB4-AF56-449E-A507-D22DDEB1AFFA}">
            <xm:f>VLOOKUP(Y21,Calendars!$O$1:$U$398,MATCH($X$1,Calendars!$O$1:$U$1,0),FALSE)="Holiday"</xm:f>
            <x14:dxf>
              <fill>
                <patternFill>
                  <bgColor rgb="FFFF99FF"/>
                </patternFill>
              </fill>
              <border>
                <bottom/>
              </border>
            </x14:dxf>
          </x14:cfRule>
          <xm:sqref>Y20</xm:sqref>
        </x14:conditionalFormatting>
        <x14:conditionalFormatting xmlns:xm="http://schemas.microsoft.com/office/excel/2006/main">
          <x14:cfRule type="expression" priority="1007" id="{BEA238B0-2E67-44EA-8ED0-793158E67EE0}">
            <xm:f>AND(VLOOKUP(Z21,Calendars!$O$1:$U$398,MATCH($X$1,Calendars!$O$1:$U$1,0),FALSE)="Non Contract",$C$5&gt;0)</xm:f>
            <x14:dxf>
              <fill>
                <patternFill patternType="solid">
                  <fgColor theme="4" tint="0.79998168889431442"/>
                  <bgColor theme="8" tint="0.79995117038483843"/>
                </patternFill>
              </fill>
            </x14:dxf>
          </x14:cfRule>
          <xm:sqref>Z20:AB20</xm:sqref>
        </x14:conditionalFormatting>
        <x14:conditionalFormatting xmlns:xm="http://schemas.microsoft.com/office/excel/2006/main">
          <x14:cfRule type="expression" priority="1017" id="{AEF05334-BF7B-44A6-9651-97DCDF12556F}">
            <xm:f>AND(VLOOKUP(Z21,Calendars!$O$1:$U$398,MATCH($X$1,Calendars!$O$1:$U$1,0),FALSE)="",Z20=0)</xm:f>
            <x14:dxf>
              <fill>
                <patternFill>
                  <bgColor theme="7" tint="0.79998168889431442"/>
                </patternFill>
              </fill>
            </x14:dxf>
          </x14:cfRule>
          <xm:sqref>Z20:AB20</xm:sqref>
        </x14:conditionalFormatting>
        <x14:conditionalFormatting xmlns:xm="http://schemas.microsoft.com/office/excel/2006/main">
          <x14:cfRule type="expression" priority="1006" id="{C81F7293-34C1-4B65-8700-3B6F39142CF0}">
            <xm:f>VLOOKUP(Z21,Calendars!$O$1:$U$398,MATCH($X$1,Calendars!$O$1:$U$1,0),FALSE)="Non Contract"</xm:f>
            <x14:dxf>
              <fill>
                <patternFill patternType="lightDown"/>
              </fill>
              <border>
                <bottom/>
              </border>
            </x14:dxf>
          </x14:cfRule>
          <x14:cfRule type="expression" priority="1015" id="{D3038D7A-9587-47E1-9492-E0DDEC173C2D}">
            <xm:f>VLOOKUP(Z21,Calendars!$O$1:$U$398,MATCH($X$1,Calendars!$O$1:$U$1,0),FALSE)="Holiday"</xm:f>
            <x14:dxf>
              <fill>
                <patternFill>
                  <bgColor rgb="FFFF99FF"/>
                </patternFill>
              </fill>
              <border>
                <bottom/>
              </border>
            </x14:dxf>
          </x14:cfRule>
          <xm:sqref>Z20:AB20</xm:sqref>
        </x14:conditionalFormatting>
        <x14:conditionalFormatting xmlns:xm="http://schemas.microsoft.com/office/excel/2006/main">
          <x14:cfRule type="expression" priority="995" id="{C7DAF1B4-F07A-46E5-8AE7-F42771AE4BB9}">
            <xm:f>AND(VLOOKUP(X23,Calendars!$O$1:$U$398,MATCH($X$1,Calendars!$O$1:$U$1,0),FALSE)="Non Contract",$C$5&gt;0)</xm:f>
            <x14:dxf>
              <fill>
                <patternFill patternType="solid">
                  <fgColor theme="4" tint="0.79998168889431442"/>
                  <bgColor theme="8" tint="0.79995117038483843"/>
                </patternFill>
              </fill>
            </x14:dxf>
          </x14:cfRule>
          <xm:sqref>X22</xm:sqref>
        </x14:conditionalFormatting>
        <x14:conditionalFormatting xmlns:xm="http://schemas.microsoft.com/office/excel/2006/main">
          <x14:cfRule type="expression" priority="1005" id="{5CBBC584-5E2E-4B4D-935E-F4345A95BCB2}">
            <xm:f>AND(VLOOKUP(X23,Calendars!$O$1:$U$398,MATCH($X$1,Calendars!$O$1:$U$1,0),FALSE)="",X22=0)</xm:f>
            <x14:dxf>
              <fill>
                <patternFill>
                  <bgColor theme="7" tint="0.79998168889431442"/>
                </patternFill>
              </fill>
            </x14:dxf>
          </x14:cfRule>
          <xm:sqref>X22</xm:sqref>
        </x14:conditionalFormatting>
        <x14:conditionalFormatting xmlns:xm="http://schemas.microsoft.com/office/excel/2006/main">
          <x14:cfRule type="expression" priority="994" id="{AB12F81B-596F-4747-B053-6B641DB6D870}">
            <xm:f>VLOOKUP(X23,Calendars!$O$1:$U$398,MATCH($X$1,Calendars!$O$1:$U$1,0),FALSE)="Non Contract"</xm:f>
            <x14:dxf>
              <fill>
                <patternFill patternType="lightDown"/>
              </fill>
              <border>
                <bottom/>
              </border>
            </x14:dxf>
          </x14:cfRule>
          <x14:cfRule type="expression" priority="1003" id="{2DC07C08-F64F-47C1-A6D3-A13E900005E5}">
            <xm:f>VLOOKUP(X23,Calendars!$O$1:$U$398,MATCH($X$1,Calendars!$O$1:$U$1,0),FALSE)="Holiday"</xm:f>
            <x14:dxf>
              <fill>
                <patternFill>
                  <bgColor rgb="FFFF99FF"/>
                </patternFill>
              </fill>
              <border>
                <bottom/>
              </border>
            </x14:dxf>
          </x14:cfRule>
          <xm:sqref>X22</xm:sqref>
        </x14:conditionalFormatting>
        <x14:conditionalFormatting xmlns:xm="http://schemas.microsoft.com/office/excel/2006/main">
          <x14:cfRule type="expression" priority="983" id="{4DA29518-0BF8-4CD8-816C-6CFA7E8D5954}">
            <xm:f>AND(VLOOKUP(Y23,Calendars!$O$1:$U$398,MATCH($X$1,Calendars!$O$1:$U$1,0),FALSE)="Non Contract",$C$5&gt;0)</xm:f>
            <x14:dxf>
              <fill>
                <patternFill patternType="solid">
                  <fgColor theme="4" tint="0.79998168889431442"/>
                  <bgColor theme="8" tint="0.79995117038483843"/>
                </patternFill>
              </fill>
            </x14:dxf>
          </x14:cfRule>
          <xm:sqref>Y22</xm:sqref>
        </x14:conditionalFormatting>
        <x14:conditionalFormatting xmlns:xm="http://schemas.microsoft.com/office/excel/2006/main">
          <x14:cfRule type="expression" priority="993" id="{437A2A78-A536-4CEC-A9E1-E04D4491110E}">
            <xm:f>AND(VLOOKUP(Y23,Calendars!$O$1:$U$398,MATCH($X$1,Calendars!$O$1:$U$1,0),FALSE)="",Y22=0)</xm:f>
            <x14:dxf>
              <fill>
                <patternFill>
                  <bgColor theme="7" tint="0.79998168889431442"/>
                </patternFill>
              </fill>
            </x14:dxf>
          </x14:cfRule>
          <xm:sqref>Y22</xm:sqref>
        </x14:conditionalFormatting>
        <x14:conditionalFormatting xmlns:xm="http://schemas.microsoft.com/office/excel/2006/main">
          <x14:cfRule type="expression" priority="982" id="{5A228AD2-36AE-4CA6-823F-D81F2A136DB4}">
            <xm:f>VLOOKUP(Y23,Calendars!$O$1:$U$398,MATCH($X$1,Calendars!$O$1:$U$1,0),FALSE)="Non Contract"</xm:f>
            <x14:dxf>
              <fill>
                <patternFill patternType="lightDown"/>
              </fill>
              <border>
                <bottom/>
              </border>
            </x14:dxf>
          </x14:cfRule>
          <x14:cfRule type="expression" priority="991" id="{49F6946F-D456-409E-9207-1C529AEB0869}">
            <xm:f>VLOOKUP(Y23,Calendars!$O$1:$U$398,MATCH($X$1,Calendars!$O$1:$U$1,0),FALSE)="Holiday"</xm:f>
            <x14:dxf>
              <fill>
                <patternFill>
                  <bgColor rgb="FFFF99FF"/>
                </patternFill>
              </fill>
              <border>
                <bottom/>
              </border>
            </x14:dxf>
          </x14:cfRule>
          <xm:sqref>Y22</xm:sqref>
        </x14:conditionalFormatting>
        <x14:conditionalFormatting xmlns:xm="http://schemas.microsoft.com/office/excel/2006/main">
          <x14:cfRule type="expression" priority="971" id="{398765F6-891D-4A1E-BA96-D6AE70D57942}">
            <xm:f>AND(VLOOKUP(Z23,Calendars!$O$1:$U$398,MATCH($X$1,Calendars!$O$1:$U$1,0),FALSE)="Non Contract",$C$5&gt;0)</xm:f>
            <x14:dxf>
              <fill>
                <patternFill patternType="solid">
                  <fgColor theme="4" tint="0.79998168889431442"/>
                  <bgColor theme="8" tint="0.79995117038483843"/>
                </patternFill>
              </fill>
            </x14:dxf>
          </x14:cfRule>
          <xm:sqref>Z22:AB22</xm:sqref>
        </x14:conditionalFormatting>
        <x14:conditionalFormatting xmlns:xm="http://schemas.microsoft.com/office/excel/2006/main">
          <x14:cfRule type="expression" priority="981" id="{CD841B60-E194-467B-8F1A-7E952CA05B6D}">
            <xm:f>AND(VLOOKUP(Z23,Calendars!$O$1:$U$398,MATCH($X$1,Calendars!$O$1:$U$1,0),FALSE)="",Z22=0)</xm:f>
            <x14:dxf>
              <fill>
                <patternFill>
                  <bgColor theme="7" tint="0.79998168889431442"/>
                </patternFill>
              </fill>
            </x14:dxf>
          </x14:cfRule>
          <xm:sqref>Z22:AB22</xm:sqref>
        </x14:conditionalFormatting>
        <x14:conditionalFormatting xmlns:xm="http://schemas.microsoft.com/office/excel/2006/main">
          <x14:cfRule type="expression" priority="970" id="{CC4BDC28-8467-484A-A01A-3F7636BE0DA8}">
            <xm:f>VLOOKUP(Z23,Calendars!$O$1:$U$398,MATCH($X$1,Calendars!$O$1:$U$1,0),FALSE)="Non Contract"</xm:f>
            <x14:dxf>
              <fill>
                <patternFill patternType="lightDown"/>
              </fill>
              <border>
                <bottom/>
              </border>
            </x14:dxf>
          </x14:cfRule>
          <x14:cfRule type="expression" priority="979" id="{161F63D5-166A-4F68-B3B8-F57245310351}">
            <xm:f>VLOOKUP(Z23,Calendars!$O$1:$U$398,MATCH($X$1,Calendars!$O$1:$U$1,0),FALSE)="Holiday"</xm:f>
            <x14:dxf>
              <fill>
                <patternFill>
                  <bgColor rgb="FFFF99FF"/>
                </patternFill>
              </fill>
              <border>
                <bottom/>
              </border>
            </x14:dxf>
          </x14:cfRule>
          <xm:sqref>Z22:AB22</xm:sqref>
        </x14:conditionalFormatting>
        <x14:conditionalFormatting xmlns:xm="http://schemas.microsoft.com/office/excel/2006/main">
          <x14:cfRule type="expression" priority="959" id="{F1FC09D8-F937-4054-9DA2-DE9F50E68FE9}">
            <xm:f>AND(VLOOKUP(X25,Calendars!$O$1:$U$398,MATCH($X$1,Calendars!$O$1:$U$1,0),FALSE)="Non Contract",$C$5&gt;0)</xm:f>
            <x14:dxf>
              <fill>
                <patternFill patternType="solid">
                  <fgColor theme="4" tint="0.79998168889431442"/>
                  <bgColor theme="8" tint="0.79995117038483843"/>
                </patternFill>
              </fill>
            </x14:dxf>
          </x14:cfRule>
          <xm:sqref>X24</xm:sqref>
        </x14:conditionalFormatting>
        <x14:conditionalFormatting xmlns:xm="http://schemas.microsoft.com/office/excel/2006/main">
          <x14:cfRule type="expression" priority="969" id="{55A00A39-7F8D-43DB-9234-B7EA9AD12BAC}">
            <xm:f>AND(VLOOKUP(X25,Calendars!$O$1:$U$398,MATCH($X$1,Calendars!$O$1:$U$1,0),FALSE)="",X24=0)</xm:f>
            <x14:dxf>
              <fill>
                <patternFill>
                  <bgColor theme="7" tint="0.79998168889431442"/>
                </patternFill>
              </fill>
            </x14:dxf>
          </x14:cfRule>
          <xm:sqref>X24</xm:sqref>
        </x14:conditionalFormatting>
        <x14:conditionalFormatting xmlns:xm="http://schemas.microsoft.com/office/excel/2006/main">
          <x14:cfRule type="expression" priority="958" id="{CB30BB97-C1D9-4DC7-BED9-7E8E39B5412A}">
            <xm:f>VLOOKUP(X25,Calendars!$O$1:$U$398,MATCH($X$1,Calendars!$O$1:$U$1,0),FALSE)="Non Contract"</xm:f>
            <x14:dxf>
              <fill>
                <patternFill patternType="lightDown"/>
              </fill>
              <border>
                <bottom/>
              </border>
            </x14:dxf>
          </x14:cfRule>
          <x14:cfRule type="expression" priority="967" id="{CBEADA47-9C2B-43F9-8202-744811DF99C9}">
            <xm:f>VLOOKUP(X25,Calendars!$O$1:$U$398,MATCH($X$1,Calendars!$O$1:$U$1,0),FALSE)="Holiday"</xm:f>
            <x14:dxf>
              <fill>
                <patternFill>
                  <bgColor rgb="FFFF99FF"/>
                </patternFill>
              </fill>
              <border>
                <bottom/>
              </border>
            </x14:dxf>
          </x14:cfRule>
          <xm:sqref>X24</xm:sqref>
        </x14:conditionalFormatting>
        <x14:conditionalFormatting xmlns:xm="http://schemas.microsoft.com/office/excel/2006/main">
          <x14:cfRule type="expression" priority="947" id="{5D2173D0-029A-400C-B344-472C5EC51243}">
            <xm:f>AND(VLOOKUP(Y25,Calendars!$O$1:$U$398,MATCH($X$1,Calendars!$O$1:$U$1,0),FALSE)="Non Contract",$C$5&gt;0)</xm:f>
            <x14:dxf>
              <fill>
                <patternFill patternType="solid">
                  <fgColor theme="4" tint="0.79998168889431442"/>
                  <bgColor theme="8" tint="0.79995117038483843"/>
                </patternFill>
              </fill>
            </x14:dxf>
          </x14:cfRule>
          <xm:sqref>Y24</xm:sqref>
        </x14:conditionalFormatting>
        <x14:conditionalFormatting xmlns:xm="http://schemas.microsoft.com/office/excel/2006/main">
          <x14:cfRule type="expression" priority="957" id="{89298AB2-1E9E-4420-A7EE-19490F3AAF3D}">
            <xm:f>AND(VLOOKUP(Y25,Calendars!$O$1:$U$398,MATCH($X$1,Calendars!$O$1:$U$1,0),FALSE)="",Y24=0)</xm:f>
            <x14:dxf>
              <fill>
                <patternFill>
                  <bgColor theme="7" tint="0.79998168889431442"/>
                </patternFill>
              </fill>
            </x14:dxf>
          </x14:cfRule>
          <xm:sqref>Y24</xm:sqref>
        </x14:conditionalFormatting>
        <x14:conditionalFormatting xmlns:xm="http://schemas.microsoft.com/office/excel/2006/main">
          <x14:cfRule type="expression" priority="946" id="{A9AA9E0F-95B0-45E1-B459-86E1E793F70F}">
            <xm:f>VLOOKUP(Y25,Calendars!$O$1:$U$398,MATCH($X$1,Calendars!$O$1:$U$1,0),FALSE)="Non Contract"</xm:f>
            <x14:dxf>
              <fill>
                <patternFill patternType="lightDown"/>
              </fill>
              <border>
                <bottom/>
              </border>
            </x14:dxf>
          </x14:cfRule>
          <x14:cfRule type="expression" priority="955" id="{3133E444-AB19-4548-8FF8-2E3D34AFA376}">
            <xm:f>VLOOKUP(Y25,Calendars!$O$1:$U$398,MATCH($X$1,Calendars!$O$1:$U$1,0),FALSE)="Holiday"</xm:f>
            <x14:dxf>
              <fill>
                <patternFill>
                  <bgColor rgb="FFFF99FF"/>
                </patternFill>
              </fill>
              <border>
                <bottom/>
              </border>
            </x14:dxf>
          </x14:cfRule>
          <xm:sqref>Y24</xm:sqref>
        </x14:conditionalFormatting>
        <x14:conditionalFormatting xmlns:xm="http://schemas.microsoft.com/office/excel/2006/main">
          <x14:cfRule type="expression" priority="935" id="{59F58D9F-847B-4E93-9B1F-BD4143726286}">
            <xm:f>AND(VLOOKUP(Z25,Calendars!$O$1:$U$398,MATCH($X$1,Calendars!$O$1:$U$1,0),FALSE)="Non Contract",$C$5&gt;0)</xm:f>
            <x14:dxf>
              <fill>
                <patternFill patternType="solid">
                  <fgColor theme="4" tint="0.79998168889431442"/>
                  <bgColor theme="8" tint="0.79995117038483843"/>
                </patternFill>
              </fill>
            </x14:dxf>
          </x14:cfRule>
          <xm:sqref>Z24:AB24</xm:sqref>
        </x14:conditionalFormatting>
        <x14:conditionalFormatting xmlns:xm="http://schemas.microsoft.com/office/excel/2006/main">
          <x14:cfRule type="expression" priority="945" id="{733DFAE0-7F60-4C34-9C47-A9F23B9580E2}">
            <xm:f>AND(VLOOKUP(Z25,Calendars!$O$1:$U$398,MATCH($X$1,Calendars!$O$1:$U$1,0),FALSE)="",Z24=0)</xm:f>
            <x14:dxf>
              <fill>
                <patternFill>
                  <bgColor theme="7" tint="0.79998168889431442"/>
                </patternFill>
              </fill>
            </x14:dxf>
          </x14:cfRule>
          <xm:sqref>Z24:AB24</xm:sqref>
        </x14:conditionalFormatting>
        <x14:conditionalFormatting xmlns:xm="http://schemas.microsoft.com/office/excel/2006/main">
          <x14:cfRule type="expression" priority="934" id="{2CD42FAF-6405-42CD-B8E9-3D0DEC914AFD}">
            <xm:f>VLOOKUP(Z25,Calendars!$O$1:$U$398,MATCH($X$1,Calendars!$O$1:$U$1,0),FALSE)="Non Contract"</xm:f>
            <x14:dxf>
              <fill>
                <patternFill patternType="lightDown"/>
              </fill>
              <border>
                <bottom/>
              </border>
            </x14:dxf>
          </x14:cfRule>
          <x14:cfRule type="expression" priority="943" id="{1F3FFD90-7409-4B36-A590-90A764A946EF}">
            <xm:f>VLOOKUP(Z25,Calendars!$O$1:$U$398,MATCH($X$1,Calendars!$O$1:$U$1,0),FALSE)="Holiday"</xm:f>
            <x14:dxf>
              <fill>
                <patternFill>
                  <bgColor rgb="FFFF99FF"/>
                </patternFill>
              </fill>
              <border>
                <bottom/>
              </border>
            </x14:dxf>
          </x14:cfRule>
          <xm:sqref>Z24:AB24</xm:sqref>
        </x14:conditionalFormatting>
        <x14:conditionalFormatting xmlns:xm="http://schemas.microsoft.com/office/excel/2006/main">
          <x14:cfRule type="expression" priority="923" id="{57A20F71-9D70-4465-87B5-295D0A878A98}">
            <xm:f>AND(VLOOKUP(C28,Calendars!$O$1:$U$398,MATCH($X$1,Calendars!$O$1:$U$1,0),FALSE)="Non Contract",$C$5&gt;0)</xm:f>
            <x14:dxf>
              <fill>
                <patternFill patternType="solid">
                  <fgColor theme="4" tint="0.79998168889431442"/>
                  <bgColor theme="8" tint="0.79995117038483843"/>
                </patternFill>
              </fill>
            </x14:dxf>
          </x14:cfRule>
          <xm:sqref>C27</xm:sqref>
        </x14:conditionalFormatting>
        <x14:conditionalFormatting xmlns:xm="http://schemas.microsoft.com/office/excel/2006/main">
          <x14:cfRule type="expression" priority="933" id="{10B5547E-BAEC-441C-9BFC-F571A7EDB6B7}">
            <xm:f>AND(VLOOKUP(C28,Calendars!$O$1:$U$398,MATCH($X$1,Calendars!$O$1:$U$1,0),FALSE)="",C27=0)</xm:f>
            <x14:dxf>
              <fill>
                <patternFill>
                  <bgColor theme="7" tint="0.79998168889431442"/>
                </patternFill>
              </fill>
            </x14:dxf>
          </x14:cfRule>
          <xm:sqref>C27</xm:sqref>
        </x14:conditionalFormatting>
        <x14:conditionalFormatting xmlns:xm="http://schemas.microsoft.com/office/excel/2006/main">
          <x14:cfRule type="expression" priority="922" id="{D9798BC3-B4FD-4A7E-B6B3-18FD6D63E7EF}">
            <xm:f>VLOOKUP(C28,Calendars!$O$1:$U$398,MATCH($X$1,Calendars!$O$1:$U$1,0),FALSE)="Non Contract"</xm:f>
            <x14:dxf>
              <fill>
                <patternFill patternType="lightDown"/>
              </fill>
              <border>
                <bottom/>
              </border>
            </x14:dxf>
          </x14:cfRule>
          <x14:cfRule type="expression" priority="931" id="{B3BAC315-66EC-492F-9B1D-B6E13AFC8382}">
            <xm:f>VLOOKUP(C28,Calendars!$O$1:$U$398,MATCH($X$1,Calendars!$O$1:$U$1,0),FALSE)="Holiday"</xm:f>
            <x14:dxf>
              <fill>
                <patternFill>
                  <bgColor rgb="FFFF99FF"/>
                </patternFill>
              </fill>
              <border>
                <bottom/>
              </border>
            </x14:dxf>
          </x14:cfRule>
          <xm:sqref>C27</xm:sqref>
        </x14:conditionalFormatting>
        <x14:conditionalFormatting xmlns:xm="http://schemas.microsoft.com/office/excel/2006/main">
          <x14:cfRule type="expression" priority="911" id="{93192106-8454-45F0-9FC6-75162991A35C}">
            <xm:f>AND(VLOOKUP(D28,Calendars!$O$1:$U$398,MATCH($X$1,Calendars!$O$1:$U$1,0),FALSE)="Non Contract",$C$5&gt;0)</xm:f>
            <x14:dxf>
              <fill>
                <patternFill patternType="solid">
                  <fgColor theme="4" tint="0.79998168889431442"/>
                  <bgColor theme="8" tint="0.79995117038483843"/>
                </patternFill>
              </fill>
            </x14:dxf>
          </x14:cfRule>
          <xm:sqref>D27</xm:sqref>
        </x14:conditionalFormatting>
        <x14:conditionalFormatting xmlns:xm="http://schemas.microsoft.com/office/excel/2006/main">
          <x14:cfRule type="expression" priority="921" id="{71D25C05-948C-4AD4-9066-EF9FA527A15C}">
            <xm:f>AND(VLOOKUP(D28,Calendars!$O$1:$U$398,MATCH($X$1,Calendars!$O$1:$U$1,0),FALSE)="",D27=0)</xm:f>
            <x14:dxf>
              <fill>
                <patternFill>
                  <bgColor theme="7" tint="0.79998168889431442"/>
                </patternFill>
              </fill>
            </x14:dxf>
          </x14:cfRule>
          <xm:sqref>D27</xm:sqref>
        </x14:conditionalFormatting>
        <x14:conditionalFormatting xmlns:xm="http://schemas.microsoft.com/office/excel/2006/main">
          <x14:cfRule type="expression" priority="910" id="{7D81539D-E2AE-411D-B977-405428BE29B6}">
            <xm:f>VLOOKUP(D28,Calendars!$O$1:$U$398,MATCH($X$1,Calendars!$O$1:$U$1,0),FALSE)="Non Contract"</xm:f>
            <x14:dxf>
              <fill>
                <patternFill patternType="lightDown"/>
              </fill>
              <border>
                <bottom/>
              </border>
            </x14:dxf>
          </x14:cfRule>
          <x14:cfRule type="expression" priority="919" id="{EB1059B8-E336-4200-9239-ECB06F72A665}">
            <xm:f>VLOOKUP(D28,Calendars!$O$1:$U$398,MATCH($X$1,Calendars!$O$1:$U$1,0),FALSE)="Holiday"</xm:f>
            <x14:dxf>
              <fill>
                <patternFill>
                  <bgColor rgb="FFFF99FF"/>
                </patternFill>
              </fill>
              <border>
                <bottom/>
              </border>
            </x14:dxf>
          </x14:cfRule>
          <xm:sqref>D27</xm:sqref>
        </x14:conditionalFormatting>
        <x14:conditionalFormatting xmlns:xm="http://schemas.microsoft.com/office/excel/2006/main">
          <x14:cfRule type="expression" priority="899" id="{FA5487BD-42AC-4C77-9C09-40D47C10B775}">
            <xm:f>AND(VLOOKUP(E28,Calendars!$O$1:$U$398,MATCH($X$1,Calendars!$O$1:$U$1,0),FALSE)="Non Contract",$C$5&gt;0)</xm:f>
            <x14:dxf>
              <fill>
                <patternFill patternType="solid">
                  <fgColor theme="4" tint="0.79998168889431442"/>
                  <bgColor theme="8" tint="0.79995117038483843"/>
                </patternFill>
              </fill>
            </x14:dxf>
          </x14:cfRule>
          <xm:sqref>E27:G27</xm:sqref>
        </x14:conditionalFormatting>
        <x14:conditionalFormatting xmlns:xm="http://schemas.microsoft.com/office/excel/2006/main">
          <x14:cfRule type="expression" priority="909" id="{5CB8FEB7-FAAF-4DCD-AD65-474C9314424A}">
            <xm:f>AND(VLOOKUP(E28,Calendars!$O$1:$U$398,MATCH($X$1,Calendars!$O$1:$U$1,0),FALSE)="",E27=0)</xm:f>
            <x14:dxf>
              <fill>
                <patternFill>
                  <bgColor theme="7" tint="0.79998168889431442"/>
                </patternFill>
              </fill>
            </x14:dxf>
          </x14:cfRule>
          <xm:sqref>E27:G27</xm:sqref>
        </x14:conditionalFormatting>
        <x14:conditionalFormatting xmlns:xm="http://schemas.microsoft.com/office/excel/2006/main">
          <x14:cfRule type="expression" priority="898" id="{2CA048A6-0E33-4C23-B38D-83D66FBC6031}">
            <xm:f>VLOOKUP(E28,Calendars!$O$1:$U$398,MATCH($X$1,Calendars!$O$1:$U$1,0),FALSE)="Non Contract"</xm:f>
            <x14:dxf>
              <fill>
                <patternFill patternType="lightDown"/>
              </fill>
              <border>
                <bottom/>
              </border>
            </x14:dxf>
          </x14:cfRule>
          <x14:cfRule type="expression" priority="907" id="{6389A348-8FF6-48E9-AEBD-74B061D96E42}">
            <xm:f>VLOOKUP(E28,Calendars!$O$1:$U$398,MATCH($X$1,Calendars!$O$1:$U$1,0),FALSE)="Holiday"</xm:f>
            <x14:dxf>
              <fill>
                <patternFill>
                  <bgColor rgb="FFFF99FF"/>
                </patternFill>
              </fill>
              <border>
                <bottom/>
              </border>
            </x14:dxf>
          </x14:cfRule>
          <xm:sqref>E27:G27</xm:sqref>
        </x14:conditionalFormatting>
        <x14:conditionalFormatting xmlns:xm="http://schemas.microsoft.com/office/excel/2006/main">
          <x14:cfRule type="expression" priority="887" id="{514BF5F4-45AE-466F-AC02-650D6A9C1633}">
            <xm:f>AND(VLOOKUP(C30,Calendars!$O$1:$U$398,MATCH($X$1,Calendars!$O$1:$U$1,0),FALSE)="Non Contract",$C$5&gt;0)</xm:f>
            <x14:dxf>
              <fill>
                <patternFill patternType="solid">
                  <fgColor theme="4" tint="0.79998168889431442"/>
                  <bgColor theme="8" tint="0.79995117038483843"/>
                </patternFill>
              </fill>
            </x14:dxf>
          </x14:cfRule>
          <xm:sqref>C29</xm:sqref>
        </x14:conditionalFormatting>
        <x14:conditionalFormatting xmlns:xm="http://schemas.microsoft.com/office/excel/2006/main">
          <x14:cfRule type="expression" priority="897" id="{08507683-2407-4EE2-9410-41DC45FE58F1}">
            <xm:f>AND(VLOOKUP(C30,Calendars!$O$1:$U$398,MATCH($X$1,Calendars!$O$1:$U$1,0),FALSE)="",C29=0)</xm:f>
            <x14:dxf>
              <fill>
                <patternFill>
                  <bgColor theme="7" tint="0.79998168889431442"/>
                </patternFill>
              </fill>
            </x14:dxf>
          </x14:cfRule>
          <xm:sqref>C29</xm:sqref>
        </x14:conditionalFormatting>
        <x14:conditionalFormatting xmlns:xm="http://schemas.microsoft.com/office/excel/2006/main">
          <x14:cfRule type="expression" priority="886" id="{C1B7875A-5995-4E15-A5DE-B472E81B3255}">
            <xm:f>VLOOKUP(C30,Calendars!$O$1:$U$398,MATCH($X$1,Calendars!$O$1:$U$1,0),FALSE)="Non Contract"</xm:f>
            <x14:dxf>
              <fill>
                <patternFill patternType="lightDown"/>
              </fill>
              <border>
                <bottom/>
              </border>
            </x14:dxf>
          </x14:cfRule>
          <x14:cfRule type="expression" priority="895" id="{99247599-5C52-4CE2-8467-1BE07D6A1424}">
            <xm:f>VLOOKUP(C30,Calendars!$O$1:$U$398,MATCH($X$1,Calendars!$O$1:$U$1,0),FALSE)="Holiday"</xm:f>
            <x14:dxf>
              <fill>
                <patternFill>
                  <bgColor rgb="FFFF99FF"/>
                </patternFill>
              </fill>
              <border>
                <bottom/>
              </border>
            </x14:dxf>
          </x14:cfRule>
          <xm:sqref>C29</xm:sqref>
        </x14:conditionalFormatting>
        <x14:conditionalFormatting xmlns:xm="http://schemas.microsoft.com/office/excel/2006/main">
          <x14:cfRule type="expression" priority="875" id="{2F335ED2-28BE-4FB3-B17D-D48417EA7671}">
            <xm:f>AND(VLOOKUP(D30,Calendars!$O$1:$U$398,MATCH($X$1,Calendars!$O$1:$U$1,0),FALSE)="Non Contract",$C$5&gt;0)</xm:f>
            <x14:dxf>
              <fill>
                <patternFill patternType="solid">
                  <fgColor theme="4" tint="0.79998168889431442"/>
                  <bgColor theme="8" tint="0.79995117038483843"/>
                </patternFill>
              </fill>
            </x14:dxf>
          </x14:cfRule>
          <xm:sqref>D29</xm:sqref>
        </x14:conditionalFormatting>
        <x14:conditionalFormatting xmlns:xm="http://schemas.microsoft.com/office/excel/2006/main">
          <x14:cfRule type="expression" priority="885" id="{B2608086-1C8E-4D6E-9589-E8421CF136BC}">
            <xm:f>AND(VLOOKUP(D30,Calendars!$O$1:$U$398,MATCH($X$1,Calendars!$O$1:$U$1,0),FALSE)="",D29=0)</xm:f>
            <x14:dxf>
              <fill>
                <patternFill>
                  <bgColor theme="7" tint="0.79998168889431442"/>
                </patternFill>
              </fill>
            </x14:dxf>
          </x14:cfRule>
          <xm:sqref>D29</xm:sqref>
        </x14:conditionalFormatting>
        <x14:conditionalFormatting xmlns:xm="http://schemas.microsoft.com/office/excel/2006/main">
          <x14:cfRule type="expression" priority="874" id="{64AC5D13-D5A4-4CE5-9440-675711697DE9}">
            <xm:f>VLOOKUP(D30,Calendars!$O$1:$U$398,MATCH($X$1,Calendars!$O$1:$U$1,0),FALSE)="Non Contract"</xm:f>
            <x14:dxf>
              <fill>
                <patternFill patternType="lightDown"/>
              </fill>
              <border>
                <bottom/>
              </border>
            </x14:dxf>
          </x14:cfRule>
          <x14:cfRule type="expression" priority="883" id="{92A64C2A-3C8F-44DC-80B7-39A0DE371D7C}">
            <xm:f>VLOOKUP(D30,Calendars!$O$1:$U$398,MATCH($X$1,Calendars!$O$1:$U$1,0),FALSE)="Holiday"</xm:f>
            <x14:dxf>
              <fill>
                <patternFill>
                  <bgColor rgb="FFFF99FF"/>
                </patternFill>
              </fill>
              <border>
                <bottom/>
              </border>
            </x14:dxf>
          </x14:cfRule>
          <xm:sqref>D29</xm:sqref>
        </x14:conditionalFormatting>
        <x14:conditionalFormatting xmlns:xm="http://schemas.microsoft.com/office/excel/2006/main">
          <x14:cfRule type="expression" priority="863" id="{2DE32876-C952-4880-9EEB-9C1E98522A78}">
            <xm:f>AND(VLOOKUP(E30,Calendars!$O$1:$U$398,MATCH($X$1,Calendars!$O$1:$U$1,0),FALSE)="Non Contract",$C$5&gt;0)</xm:f>
            <x14:dxf>
              <fill>
                <patternFill patternType="solid">
                  <fgColor theme="4" tint="0.79998168889431442"/>
                  <bgColor theme="8" tint="0.79995117038483843"/>
                </patternFill>
              </fill>
            </x14:dxf>
          </x14:cfRule>
          <xm:sqref>E29:G29</xm:sqref>
        </x14:conditionalFormatting>
        <x14:conditionalFormatting xmlns:xm="http://schemas.microsoft.com/office/excel/2006/main">
          <x14:cfRule type="expression" priority="873" id="{4A13CE77-A168-4F7C-BAE4-1C1513E2E897}">
            <xm:f>AND(VLOOKUP(E30,Calendars!$O$1:$U$398,MATCH($X$1,Calendars!$O$1:$U$1,0),FALSE)="",E29=0)</xm:f>
            <x14:dxf>
              <fill>
                <patternFill>
                  <bgColor theme="7" tint="0.79998168889431442"/>
                </patternFill>
              </fill>
            </x14:dxf>
          </x14:cfRule>
          <xm:sqref>E29:G29</xm:sqref>
        </x14:conditionalFormatting>
        <x14:conditionalFormatting xmlns:xm="http://schemas.microsoft.com/office/excel/2006/main">
          <x14:cfRule type="expression" priority="862" id="{5632BA6D-2261-470D-A52F-4AA2F50D9536}">
            <xm:f>VLOOKUP(E30,Calendars!$O$1:$U$398,MATCH($X$1,Calendars!$O$1:$U$1,0),FALSE)="Non Contract"</xm:f>
            <x14:dxf>
              <fill>
                <patternFill patternType="lightDown"/>
              </fill>
              <border>
                <bottom/>
              </border>
            </x14:dxf>
          </x14:cfRule>
          <x14:cfRule type="expression" priority="871" id="{29B5D2A3-2586-494B-9664-1D3A7873971C}">
            <xm:f>VLOOKUP(E30,Calendars!$O$1:$U$398,MATCH($X$1,Calendars!$O$1:$U$1,0),FALSE)="Holiday"</xm:f>
            <x14:dxf>
              <fill>
                <patternFill>
                  <bgColor rgb="FFFF99FF"/>
                </patternFill>
              </fill>
              <border>
                <bottom/>
              </border>
            </x14:dxf>
          </x14:cfRule>
          <xm:sqref>E29:G29</xm:sqref>
        </x14:conditionalFormatting>
        <x14:conditionalFormatting xmlns:xm="http://schemas.microsoft.com/office/excel/2006/main">
          <x14:cfRule type="expression" priority="851" id="{C41B311A-AF95-4FC5-BB73-44F1E51682A5}">
            <xm:f>AND(VLOOKUP(C32,Calendars!$O$1:$U$398,MATCH($X$1,Calendars!$O$1:$U$1,0),FALSE)="Non Contract",$C$5&gt;0)</xm:f>
            <x14:dxf>
              <fill>
                <patternFill patternType="solid">
                  <fgColor theme="4" tint="0.79998168889431442"/>
                  <bgColor theme="8" tint="0.79995117038483843"/>
                </patternFill>
              </fill>
            </x14:dxf>
          </x14:cfRule>
          <xm:sqref>C31</xm:sqref>
        </x14:conditionalFormatting>
        <x14:conditionalFormatting xmlns:xm="http://schemas.microsoft.com/office/excel/2006/main">
          <x14:cfRule type="expression" priority="861" id="{9E03A8F0-3333-4E59-BE37-DA1BF746A9ED}">
            <xm:f>AND(VLOOKUP(C32,Calendars!$O$1:$U$398,MATCH($X$1,Calendars!$O$1:$U$1,0),FALSE)="",C31=0)</xm:f>
            <x14:dxf>
              <fill>
                <patternFill>
                  <bgColor theme="7" tint="0.79998168889431442"/>
                </patternFill>
              </fill>
            </x14:dxf>
          </x14:cfRule>
          <xm:sqref>C31</xm:sqref>
        </x14:conditionalFormatting>
        <x14:conditionalFormatting xmlns:xm="http://schemas.microsoft.com/office/excel/2006/main">
          <x14:cfRule type="expression" priority="850" id="{1ADF461C-43B5-4DC1-9382-936F3EF3AF70}">
            <xm:f>VLOOKUP(C32,Calendars!$O$1:$U$398,MATCH($X$1,Calendars!$O$1:$U$1,0),FALSE)="Non Contract"</xm:f>
            <x14:dxf>
              <fill>
                <patternFill patternType="lightDown"/>
              </fill>
              <border>
                <bottom/>
              </border>
            </x14:dxf>
          </x14:cfRule>
          <x14:cfRule type="expression" priority="859" id="{164F1ACD-D7C9-480C-9D96-EBFCA9278BE4}">
            <xm:f>VLOOKUP(C32,Calendars!$O$1:$U$398,MATCH($X$1,Calendars!$O$1:$U$1,0),FALSE)="Holiday"</xm:f>
            <x14:dxf>
              <fill>
                <patternFill>
                  <bgColor rgb="FFFF99FF"/>
                </patternFill>
              </fill>
              <border>
                <bottom/>
              </border>
            </x14:dxf>
          </x14:cfRule>
          <xm:sqref>C31</xm:sqref>
        </x14:conditionalFormatting>
        <x14:conditionalFormatting xmlns:xm="http://schemas.microsoft.com/office/excel/2006/main">
          <x14:cfRule type="expression" priority="839" id="{8A7F9A0D-0342-4BCC-B95F-812393C5D6AD}">
            <xm:f>AND(VLOOKUP(D32,Calendars!$O$1:$U$398,MATCH($X$1,Calendars!$O$1:$U$1,0),FALSE)="Non Contract",$C$5&gt;0)</xm:f>
            <x14:dxf>
              <fill>
                <patternFill patternType="solid">
                  <fgColor theme="4" tint="0.79998168889431442"/>
                  <bgColor theme="8" tint="0.79995117038483843"/>
                </patternFill>
              </fill>
            </x14:dxf>
          </x14:cfRule>
          <xm:sqref>D31</xm:sqref>
        </x14:conditionalFormatting>
        <x14:conditionalFormatting xmlns:xm="http://schemas.microsoft.com/office/excel/2006/main">
          <x14:cfRule type="expression" priority="849" id="{344FBCCD-0987-4783-847D-AEBEA93B534D}">
            <xm:f>AND(VLOOKUP(D32,Calendars!$O$1:$U$398,MATCH($X$1,Calendars!$O$1:$U$1,0),FALSE)="",D31=0)</xm:f>
            <x14:dxf>
              <fill>
                <patternFill>
                  <bgColor theme="7" tint="0.79998168889431442"/>
                </patternFill>
              </fill>
            </x14:dxf>
          </x14:cfRule>
          <xm:sqref>D31</xm:sqref>
        </x14:conditionalFormatting>
        <x14:conditionalFormatting xmlns:xm="http://schemas.microsoft.com/office/excel/2006/main">
          <x14:cfRule type="expression" priority="838" id="{EE698FD4-27CE-40D9-886D-96AFC8CC98AD}">
            <xm:f>VLOOKUP(D32,Calendars!$O$1:$U$398,MATCH($X$1,Calendars!$O$1:$U$1,0),FALSE)="Non Contract"</xm:f>
            <x14:dxf>
              <fill>
                <patternFill patternType="lightDown"/>
              </fill>
              <border>
                <bottom/>
              </border>
            </x14:dxf>
          </x14:cfRule>
          <x14:cfRule type="expression" priority="847" id="{C1660A19-597E-4E95-9BE9-59B98DF2EFB3}">
            <xm:f>VLOOKUP(D32,Calendars!$O$1:$U$398,MATCH($X$1,Calendars!$O$1:$U$1,0),FALSE)="Holiday"</xm:f>
            <x14:dxf>
              <fill>
                <patternFill>
                  <bgColor rgb="FFFF99FF"/>
                </patternFill>
              </fill>
              <border>
                <bottom/>
              </border>
            </x14:dxf>
          </x14:cfRule>
          <xm:sqref>D31</xm:sqref>
        </x14:conditionalFormatting>
        <x14:conditionalFormatting xmlns:xm="http://schemas.microsoft.com/office/excel/2006/main">
          <x14:cfRule type="expression" priority="827" id="{D6C4D7D7-C56F-4D37-B887-C1A1CCE52551}">
            <xm:f>AND(VLOOKUP(E32,Calendars!$O$1:$U$398,MATCH($X$1,Calendars!$O$1:$U$1,0),FALSE)="Non Contract",$C$5&gt;0)</xm:f>
            <x14:dxf>
              <fill>
                <patternFill patternType="solid">
                  <fgColor theme="4" tint="0.79998168889431442"/>
                  <bgColor theme="8" tint="0.79995117038483843"/>
                </patternFill>
              </fill>
            </x14:dxf>
          </x14:cfRule>
          <xm:sqref>E31:G31</xm:sqref>
        </x14:conditionalFormatting>
        <x14:conditionalFormatting xmlns:xm="http://schemas.microsoft.com/office/excel/2006/main">
          <x14:cfRule type="expression" priority="837" id="{4EA01EED-6E51-49E5-AE1E-A8B98A1D10AD}">
            <xm:f>AND(VLOOKUP(E32,Calendars!$O$1:$U$398,MATCH($X$1,Calendars!$O$1:$U$1,0),FALSE)="",E31=0)</xm:f>
            <x14:dxf>
              <fill>
                <patternFill>
                  <bgColor theme="7" tint="0.79998168889431442"/>
                </patternFill>
              </fill>
            </x14:dxf>
          </x14:cfRule>
          <xm:sqref>E31:G31</xm:sqref>
        </x14:conditionalFormatting>
        <x14:conditionalFormatting xmlns:xm="http://schemas.microsoft.com/office/excel/2006/main">
          <x14:cfRule type="expression" priority="826" id="{791F1E70-B1AB-4157-BAB2-772BAE742C00}">
            <xm:f>VLOOKUP(E32,Calendars!$O$1:$U$398,MATCH($X$1,Calendars!$O$1:$U$1,0),FALSE)="Non Contract"</xm:f>
            <x14:dxf>
              <fill>
                <patternFill patternType="lightDown"/>
              </fill>
              <border>
                <bottom/>
              </border>
            </x14:dxf>
          </x14:cfRule>
          <x14:cfRule type="expression" priority="835" id="{2D3CC45E-2F6E-4F15-B2F4-44A1E3B10455}">
            <xm:f>VLOOKUP(E32,Calendars!$O$1:$U$398,MATCH($X$1,Calendars!$O$1:$U$1,0),FALSE)="Holiday"</xm:f>
            <x14:dxf>
              <fill>
                <patternFill>
                  <bgColor rgb="FFFF99FF"/>
                </patternFill>
              </fill>
              <border>
                <bottom/>
              </border>
            </x14:dxf>
          </x14:cfRule>
          <xm:sqref>E31:G31</xm:sqref>
        </x14:conditionalFormatting>
        <x14:conditionalFormatting xmlns:xm="http://schemas.microsoft.com/office/excel/2006/main">
          <x14:cfRule type="expression" priority="815" id="{CA4366CE-6871-480B-85FF-668332A59E85}">
            <xm:f>AND(VLOOKUP(C34,Calendars!$O$1:$U$398,MATCH($X$1,Calendars!$O$1:$U$1,0),FALSE)="Non Contract",$C$5&gt;0)</xm:f>
            <x14:dxf>
              <fill>
                <patternFill patternType="solid">
                  <fgColor theme="4" tint="0.79998168889431442"/>
                  <bgColor theme="8" tint="0.79995117038483843"/>
                </patternFill>
              </fill>
            </x14:dxf>
          </x14:cfRule>
          <xm:sqref>C33</xm:sqref>
        </x14:conditionalFormatting>
        <x14:conditionalFormatting xmlns:xm="http://schemas.microsoft.com/office/excel/2006/main">
          <x14:cfRule type="expression" priority="825" id="{1710C9A6-F199-4241-B686-2521C43E4D0D}">
            <xm:f>AND(VLOOKUP(C34,Calendars!$O$1:$U$398,MATCH($X$1,Calendars!$O$1:$U$1,0),FALSE)="",C33=0)</xm:f>
            <x14:dxf>
              <fill>
                <patternFill>
                  <bgColor theme="7" tint="0.79998168889431442"/>
                </patternFill>
              </fill>
            </x14:dxf>
          </x14:cfRule>
          <xm:sqref>C33</xm:sqref>
        </x14:conditionalFormatting>
        <x14:conditionalFormatting xmlns:xm="http://schemas.microsoft.com/office/excel/2006/main">
          <x14:cfRule type="expression" priority="814" id="{1949E44F-53A2-416F-BBA2-43C4044DB4C8}">
            <xm:f>VLOOKUP(C34,Calendars!$O$1:$U$398,MATCH($X$1,Calendars!$O$1:$U$1,0),FALSE)="Non Contract"</xm:f>
            <x14:dxf>
              <fill>
                <patternFill patternType="lightDown"/>
              </fill>
              <border>
                <bottom/>
              </border>
            </x14:dxf>
          </x14:cfRule>
          <x14:cfRule type="expression" priority="823" id="{67015DAB-D423-47BA-BF78-24464EA23FAC}">
            <xm:f>VLOOKUP(C34,Calendars!$O$1:$U$398,MATCH($X$1,Calendars!$O$1:$U$1,0),FALSE)="Holiday"</xm:f>
            <x14:dxf>
              <fill>
                <patternFill>
                  <bgColor rgb="FFFF99FF"/>
                </patternFill>
              </fill>
              <border>
                <bottom/>
              </border>
            </x14:dxf>
          </x14:cfRule>
          <xm:sqref>C33</xm:sqref>
        </x14:conditionalFormatting>
        <x14:conditionalFormatting xmlns:xm="http://schemas.microsoft.com/office/excel/2006/main">
          <x14:cfRule type="expression" priority="803" id="{6999238D-0888-4F4B-A569-9628FCD3C537}">
            <xm:f>AND(VLOOKUP(D34,Calendars!$O$1:$U$398,MATCH($X$1,Calendars!$O$1:$U$1,0),FALSE)="Non Contract",$C$5&gt;0)</xm:f>
            <x14:dxf>
              <fill>
                <patternFill patternType="solid">
                  <fgColor theme="4" tint="0.79998168889431442"/>
                  <bgColor theme="8" tint="0.79995117038483843"/>
                </patternFill>
              </fill>
            </x14:dxf>
          </x14:cfRule>
          <xm:sqref>D33</xm:sqref>
        </x14:conditionalFormatting>
        <x14:conditionalFormatting xmlns:xm="http://schemas.microsoft.com/office/excel/2006/main">
          <x14:cfRule type="expression" priority="813" id="{ADB22467-A897-4241-B075-0A106C5703E4}">
            <xm:f>AND(VLOOKUP(D34,Calendars!$O$1:$U$398,MATCH($X$1,Calendars!$O$1:$U$1,0),FALSE)="",D33=0)</xm:f>
            <x14:dxf>
              <fill>
                <patternFill>
                  <bgColor theme="7" tint="0.79998168889431442"/>
                </patternFill>
              </fill>
            </x14:dxf>
          </x14:cfRule>
          <xm:sqref>D33</xm:sqref>
        </x14:conditionalFormatting>
        <x14:conditionalFormatting xmlns:xm="http://schemas.microsoft.com/office/excel/2006/main">
          <x14:cfRule type="expression" priority="802" id="{A3957023-FDA5-4892-9B5D-80DD570D1B1C}">
            <xm:f>VLOOKUP(D34,Calendars!$O$1:$U$398,MATCH($X$1,Calendars!$O$1:$U$1,0),FALSE)="Non Contract"</xm:f>
            <x14:dxf>
              <fill>
                <patternFill patternType="lightDown"/>
              </fill>
              <border>
                <bottom/>
              </border>
            </x14:dxf>
          </x14:cfRule>
          <x14:cfRule type="expression" priority="811" id="{BA837036-974B-43F2-BE8C-F25AC3EF8F73}">
            <xm:f>VLOOKUP(D34,Calendars!$O$1:$U$398,MATCH($X$1,Calendars!$O$1:$U$1,0),FALSE)="Holiday"</xm:f>
            <x14:dxf>
              <fill>
                <patternFill>
                  <bgColor rgb="FFFF99FF"/>
                </patternFill>
              </fill>
              <border>
                <bottom/>
              </border>
            </x14:dxf>
          </x14:cfRule>
          <xm:sqref>D33</xm:sqref>
        </x14:conditionalFormatting>
        <x14:conditionalFormatting xmlns:xm="http://schemas.microsoft.com/office/excel/2006/main">
          <x14:cfRule type="expression" priority="791" id="{DF8D131C-A0CB-495F-943A-BD3AFDC97EC0}">
            <xm:f>AND(VLOOKUP(E34,Calendars!$O$1:$U$398,MATCH($X$1,Calendars!$O$1:$U$1,0),FALSE)="Non Contract",$C$5&gt;0)</xm:f>
            <x14:dxf>
              <fill>
                <patternFill patternType="solid">
                  <fgColor theme="4" tint="0.79998168889431442"/>
                  <bgColor theme="8" tint="0.79995117038483843"/>
                </patternFill>
              </fill>
            </x14:dxf>
          </x14:cfRule>
          <xm:sqref>E33:G33</xm:sqref>
        </x14:conditionalFormatting>
        <x14:conditionalFormatting xmlns:xm="http://schemas.microsoft.com/office/excel/2006/main">
          <x14:cfRule type="expression" priority="801" id="{B39569DC-3F62-46D8-A09F-92B7A691E4F2}">
            <xm:f>AND(VLOOKUP(E34,Calendars!$O$1:$U$398,MATCH($X$1,Calendars!$O$1:$U$1,0),FALSE)="",E33=0)</xm:f>
            <x14:dxf>
              <fill>
                <patternFill>
                  <bgColor theme="7" tint="0.79998168889431442"/>
                </patternFill>
              </fill>
            </x14:dxf>
          </x14:cfRule>
          <xm:sqref>E33:G33</xm:sqref>
        </x14:conditionalFormatting>
        <x14:conditionalFormatting xmlns:xm="http://schemas.microsoft.com/office/excel/2006/main">
          <x14:cfRule type="expression" priority="790" id="{8DA5B38C-2125-480F-BB3E-A93DF707314B}">
            <xm:f>VLOOKUP(E34,Calendars!$O$1:$U$398,MATCH($X$1,Calendars!$O$1:$U$1,0),FALSE)="Non Contract"</xm:f>
            <x14:dxf>
              <fill>
                <patternFill patternType="lightDown"/>
              </fill>
              <border>
                <bottom/>
              </border>
            </x14:dxf>
          </x14:cfRule>
          <x14:cfRule type="expression" priority="799" id="{00B9F724-EF09-4590-872F-868646118C81}">
            <xm:f>VLOOKUP(E34,Calendars!$O$1:$U$398,MATCH($X$1,Calendars!$O$1:$U$1,0),FALSE)="Holiday"</xm:f>
            <x14:dxf>
              <fill>
                <patternFill>
                  <bgColor rgb="FFFF99FF"/>
                </patternFill>
              </fill>
              <border>
                <bottom/>
              </border>
            </x14:dxf>
          </x14:cfRule>
          <xm:sqref>E33:G33</xm:sqref>
        </x14:conditionalFormatting>
        <x14:conditionalFormatting xmlns:xm="http://schemas.microsoft.com/office/excel/2006/main">
          <x14:cfRule type="expression" priority="779" id="{479526B5-C097-4E1A-BE5E-B33283E0EFC9}">
            <xm:f>AND(VLOOKUP(C36,Calendars!$O$1:$U$398,MATCH($X$1,Calendars!$O$1:$U$1,0),FALSE)="Non Contract",$C$5&gt;0)</xm:f>
            <x14:dxf>
              <fill>
                <patternFill patternType="solid">
                  <fgColor theme="4" tint="0.79998168889431442"/>
                  <bgColor theme="8" tint="0.79995117038483843"/>
                </patternFill>
              </fill>
            </x14:dxf>
          </x14:cfRule>
          <xm:sqref>C35</xm:sqref>
        </x14:conditionalFormatting>
        <x14:conditionalFormatting xmlns:xm="http://schemas.microsoft.com/office/excel/2006/main">
          <x14:cfRule type="expression" priority="789" id="{A8D1DFBD-CC7E-41A7-9391-A70D27EBC76B}">
            <xm:f>AND(VLOOKUP(C36,Calendars!$O$1:$U$398,MATCH($X$1,Calendars!$O$1:$U$1,0),FALSE)="",C35=0)</xm:f>
            <x14:dxf>
              <fill>
                <patternFill>
                  <bgColor theme="7" tint="0.79998168889431442"/>
                </patternFill>
              </fill>
            </x14:dxf>
          </x14:cfRule>
          <xm:sqref>C35</xm:sqref>
        </x14:conditionalFormatting>
        <x14:conditionalFormatting xmlns:xm="http://schemas.microsoft.com/office/excel/2006/main">
          <x14:cfRule type="expression" priority="778" id="{8121FF89-FCAD-4947-9507-8D9D7B44A616}">
            <xm:f>VLOOKUP(C36,Calendars!$O$1:$U$398,MATCH($X$1,Calendars!$O$1:$U$1,0),FALSE)="Non Contract"</xm:f>
            <x14:dxf>
              <fill>
                <patternFill patternType="lightDown"/>
              </fill>
              <border>
                <bottom/>
              </border>
            </x14:dxf>
          </x14:cfRule>
          <x14:cfRule type="expression" priority="787" id="{B2D3B330-D5FC-47C5-B380-0E74726DC6AE}">
            <xm:f>VLOOKUP(C36,Calendars!$O$1:$U$398,MATCH($X$1,Calendars!$O$1:$U$1,0),FALSE)="Holiday"</xm:f>
            <x14:dxf>
              <fill>
                <patternFill>
                  <bgColor rgb="FFFF99FF"/>
                </patternFill>
              </fill>
              <border>
                <bottom/>
              </border>
            </x14:dxf>
          </x14:cfRule>
          <xm:sqref>C35</xm:sqref>
        </x14:conditionalFormatting>
        <x14:conditionalFormatting xmlns:xm="http://schemas.microsoft.com/office/excel/2006/main">
          <x14:cfRule type="expression" priority="767" id="{A9972C16-13B0-4264-82C6-929FEF55C21D}">
            <xm:f>AND(VLOOKUP(D36,Calendars!$O$1:$U$398,MATCH($X$1,Calendars!$O$1:$U$1,0),FALSE)="Non Contract",$C$5&gt;0)</xm:f>
            <x14:dxf>
              <fill>
                <patternFill patternType="solid">
                  <fgColor theme="4" tint="0.79998168889431442"/>
                  <bgColor theme="8" tint="0.79995117038483843"/>
                </patternFill>
              </fill>
            </x14:dxf>
          </x14:cfRule>
          <xm:sqref>D35</xm:sqref>
        </x14:conditionalFormatting>
        <x14:conditionalFormatting xmlns:xm="http://schemas.microsoft.com/office/excel/2006/main">
          <x14:cfRule type="expression" priority="777" id="{DA3F8A4B-E2D6-4480-8A24-CDBE9785C5DE}">
            <xm:f>AND(VLOOKUP(D36,Calendars!$O$1:$U$398,MATCH($X$1,Calendars!$O$1:$U$1,0),FALSE)="",D35=0)</xm:f>
            <x14:dxf>
              <fill>
                <patternFill>
                  <bgColor theme="7" tint="0.79998168889431442"/>
                </patternFill>
              </fill>
            </x14:dxf>
          </x14:cfRule>
          <xm:sqref>D35</xm:sqref>
        </x14:conditionalFormatting>
        <x14:conditionalFormatting xmlns:xm="http://schemas.microsoft.com/office/excel/2006/main">
          <x14:cfRule type="expression" priority="766" id="{381BD8CC-D6EE-47E3-A14E-5FE122A59E5C}">
            <xm:f>VLOOKUP(D36,Calendars!$O$1:$U$398,MATCH($X$1,Calendars!$O$1:$U$1,0),FALSE)="Non Contract"</xm:f>
            <x14:dxf>
              <fill>
                <patternFill patternType="lightDown"/>
              </fill>
              <border>
                <bottom/>
              </border>
            </x14:dxf>
          </x14:cfRule>
          <x14:cfRule type="expression" priority="775" id="{178A520F-064C-43A1-8470-12AED89080B1}">
            <xm:f>VLOOKUP(D36,Calendars!$O$1:$U$398,MATCH($X$1,Calendars!$O$1:$U$1,0),FALSE)="Holiday"</xm:f>
            <x14:dxf>
              <fill>
                <patternFill>
                  <bgColor rgb="FFFF99FF"/>
                </patternFill>
              </fill>
              <border>
                <bottom/>
              </border>
            </x14:dxf>
          </x14:cfRule>
          <xm:sqref>D35</xm:sqref>
        </x14:conditionalFormatting>
        <x14:conditionalFormatting xmlns:xm="http://schemas.microsoft.com/office/excel/2006/main">
          <x14:cfRule type="expression" priority="755" id="{701754CE-D98D-48D9-A955-BAEDAEB77CB3}">
            <xm:f>AND(VLOOKUP(E36,Calendars!$O$1:$U$398,MATCH($X$1,Calendars!$O$1:$U$1,0),FALSE)="Non Contract",$C$5&gt;0)</xm:f>
            <x14:dxf>
              <fill>
                <patternFill patternType="solid">
                  <fgColor theme="4" tint="0.79998168889431442"/>
                  <bgColor theme="8" tint="0.79995117038483843"/>
                </patternFill>
              </fill>
            </x14:dxf>
          </x14:cfRule>
          <xm:sqref>E35:G35</xm:sqref>
        </x14:conditionalFormatting>
        <x14:conditionalFormatting xmlns:xm="http://schemas.microsoft.com/office/excel/2006/main">
          <x14:cfRule type="expression" priority="765" id="{5F5BAEB8-5D6E-4C87-A8E2-FE4EBE1F00A1}">
            <xm:f>AND(VLOOKUP(E36,Calendars!$O$1:$U$398,MATCH($X$1,Calendars!$O$1:$U$1,0),FALSE)="",E35=0)</xm:f>
            <x14:dxf>
              <fill>
                <patternFill>
                  <bgColor theme="7" tint="0.79998168889431442"/>
                </patternFill>
              </fill>
            </x14:dxf>
          </x14:cfRule>
          <xm:sqref>E35:G35</xm:sqref>
        </x14:conditionalFormatting>
        <x14:conditionalFormatting xmlns:xm="http://schemas.microsoft.com/office/excel/2006/main">
          <x14:cfRule type="expression" priority="754" id="{A152BFAB-3128-493D-B4C5-8C1025001CB9}">
            <xm:f>VLOOKUP(E36,Calendars!$O$1:$U$398,MATCH($X$1,Calendars!$O$1:$U$1,0),FALSE)="Non Contract"</xm:f>
            <x14:dxf>
              <fill>
                <patternFill patternType="lightDown"/>
              </fill>
              <border>
                <bottom/>
              </border>
            </x14:dxf>
          </x14:cfRule>
          <x14:cfRule type="expression" priority="763" id="{20248CD8-713B-4D5A-B1D5-33C83F1BB675}">
            <xm:f>VLOOKUP(E36,Calendars!$O$1:$U$398,MATCH($X$1,Calendars!$O$1:$U$1,0),FALSE)="Holiday"</xm:f>
            <x14:dxf>
              <fill>
                <patternFill>
                  <bgColor rgb="FFFF99FF"/>
                </patternFill>
              </fill>
              <border>
                <bottom/>
              </border>
            </x14:dxf>
          </x14:cfRule>
          <xm:sqref>E35:G35</xm:sqref>
        </x14:conditionalFormatting>
        <x14:conditionalFormatting xmlns:xm="http://schemas.microsoft.com/office/excel/2006/main">
          <x14:cfRule type="expression" priority="743" id="{2F1628DA-FA91-4C11-8112-FF12C0C08F30}">
            <xm:f>AND(VLOOKUP(J28,Calendars!$O$1:$U$398,MATCH($X$1,Calendars!$O$1:$U$1,0),FALSE)="Non Contract",$C$5&gt;0)</xm:f>
            <x14:dxf>
              <fill>
                <patternFill patternType="solid">
                  <fgColor theme="4" tint="0.79998168889431442"/>
                  <bgColor theme="8" tint="0.79995117038483843"/>
                </patternFill>
              </fill>
            </x14:dxf>
          </x14:cfRule>
          <xm:sqref>J27</xm:sqref>
        </x14:conditionalFormatting>
        <x14:conditionalFormatting xmlns:xm="http://schemas.microsoft.com/office/excel/2006/main">
          <x14:cfRule type="expression" priority="753" id="{83D87B9D-3F41-4BED-B50C-D4CFB6182DFC}">
            <xm:f>AND(VLOOKUP(J28,Calendars!$O$1:$U$398,MATCH($X$1,Calendars!$O$1:$U$1,0),FALSE)="",J27=0)</xm:f>
            <x14:dxf>
              <fill>
                <patternFill>
                  <bgColor theme="7" tint="0.79998168889431442"/>
                </patternFill>
              </fill>
            </x14:dxf>
          </x14:cfRule>
          <xm:sqref>J27</xm:sqref>
        </x14:conditionalFormatting>
        <x14:conditionalFormatting xmlns:xm="http://schemas.microsoft.com/office/excel/2006/main">
          <x14:cfRule type="expression" priority="742" id="{5C07B6F7-0CFA-49A7-A266-566FCDF821F8}">
            <xm:f>VLOOKUP(J28,Calendars!$O$1:$U$398,MATCH($X$1,Calendars!$O$1:$U$1,0),FALSE)="Non Contract"</xm:f>
            <x14:dxf>
              <fill>
                <patternFill patternType="lightDown"/>
              </fill>
              <border>
                <bottom/>
              </border>
            </x14:dxf>
          </x14:cfRule>
          <x14:cfRule type="expression" priority="751" id="{510D557C-9887-4728-9177-5F758D8090AD}">
            <xm:f>VLOOKUP(J28,Calendars!$O$1:$U$398,MATCH($X$1,Calendars!$O$1:$U$1,0),FALSE)="Holiday"</xm:f>
            <x14:dxf>
              <fill>
                <patternFill>
                  <bgColor rgb="FFFF99FF"/>
                </patternFill>
              </fill>
              <border>
                <bottom/>
              </border>
            </x14:dxf>
          </x14:cfRule>
          <xm:sqref>J27</xm:sqref>
        </x14:conditionalFormatting>
        <x14:conditionalFormatting xmlns:xm="http://schemas.microsoft.com/office/excel/2006/main">
          <x14:cfRule type="expression" priority="731" id="{70768327-5B01-43B2-9F85-0896E0FE832B}">
            <xm:f>AND(VLOOKUP(K28,Calendars!$O$1:$U$398,MATCH($X$1,Calendars!$O$1:$U$1,0),FALSE)="Non Contract",$C$5&gt;0)</xm:f>
            <x14:dxf>
              <fill>
                <patternFill patternType="solid">
                  <fgColor theme="4" tint="0.79998168889431442"/>
                  <bgColor theme="8" tint="0.79995117038483843"/>
                </patternFill>
              </fill>
            </x14:dxf>
          </x14:cfRule>
          <xm:sqref>K27</xm:sqref>
        </x14:conditionalFormatting>
        <x14:conditionalFormatting xmlns:xm="http://schemas.microsoft.com/office/excel/2006/main">
          <x14:cfRule type="expression" priority="741" id="{1DD454C7-A06C-4D41-A31E-3EE0359EBDE1}">
            <xm:f>AND(VLOOKUP(K28,Calendars!$O$1:$U$398,MATCH($X$1,Calendars!$O$1:$U$1,0),FALSE)="",K27=0)</xm:f>
            <x14:dxf>
              <fill>
                <patternFill>
                  <bgColor theme="7" tint="0.79998168889431442"/>
                </patternFill>
              </fill>
            </x14:dxf>
          </x14:cfRule>
          <xm:sqref>K27</xm:sqref>
        </x14:conditionalFormatting>
        <x14:conditionalFormatting xmlns:xm="http://schemas.microsoft.com/office/excel/2006/main">
          <x14:cfRule type="expression" priority="730" id="{404471E1-FBE9-44D9-B6D7-ED257A059D8A}">
            <xm:f>VLOOKUP(K28,Calendars!$O$1:$U$398,MATCH($X$1,Calendars!$O$1:$U$1,0),FALSE)="Non Contract"</xm:f>
            <x14:dxf>
              <fill>
                <patternFill patternType="lightDown"/>
              </fill>
              <border>
                <bottom/>
              </border>
            </x14:dxf>
          </x14:cfRule>
          <x14:cfRule type="expression" priority="739" id="{356F7645-5278-493E-A75C-D9519DB108C2}">
            <xm:f>VLOOKUP(K28,Calendars!$O$1:$U$398,MATCH($X$1,Calendars!$O$1:$U$1,0),FALSE)="Holiday"</xm:f>
            <x14:dxf>
              <fill>
                <patternFill>
                  <bgColor rgb="FFFF99FF"/>
                </patternFill>
              </fill>
              <border>
                <bottom/>
              </border>
            </x14:dxf>
          </x14:cfRule>
          <xm:sqref>K27</xm:sqref>
        </x14:conditionalFormatting>
        <x14:conditionalFormatting xmlns:xm="http://schemas.microsoft.com/office/excel/2006/main">
          <x14:cfRule type="expression" priority="719" id="{B1617626-E99E-46C3-9713-99B1337105BF}">
            <xm:f>AND(VLOOKUP(L28,Calendars!$O$1:$U$398,MATCH($X$1,Calendars!$O$1:$U$1,0),FALSE)="Non Contract",$C$5&gt;0)</xm:f>
            <x14:dxf>
              <fill>
                <patternFill patternType="solid">
                  <fgColor theme="4" tint="0.79998168889431442"/>
                  <bgColor theme="8" tint="0.79995117038483843"/>
                </patternFill>
              </fill>
            </x14:dxf>
          </x14:cfRule>
          <xm:sqref>L27:N27</xm:sqref>
        </x14:conditionalFormatting>
        <x14:conditionalFormatting xmlns:xm="http://schemas.microsoft.com/office/excel/2006/main">
          <x14:cfRule type="expression" priority="729" id="{4F968336-63DD-4563-B156-2227BADDBB2C}">
            <xm:f>AND(VLOOKUP(L28,Calendars!$O$1:$U$398,MATCH($X$1,Calendars!$O$1:$U$1,0),FALSE)="",L27=0)</xm:f>
            <x14:dxf>
              <fill>
                <patternFill>
                  <bgColor theme="7" tint="0.79998168889431442"/>
                </patternFill>
              </fill>
            </x14:dxf>
          </x14:cfRule>
          <xm:sqref>L27:N27</xm:sqref>
        </x14:conditionalFormatting>
        <x14:conditionalFormatting xmlns:xm="http://schemas.microsoft.com/office/excel/2006/main">
          <x14:cfRule type="expression" priority="718" id="{843FFD37-A539-48D7-A147-3CEFDDDA542E}">
            <xm:f>VLOOKUP(L28,Calendars!$O$1:$U$398,MATCH($X$1,Calendars!$O$1:$U$1,0),FALSE)="Non Contract"</xm:f>
            <x14:dxf>
              <fill>
                <patternFill patternType="lightDown"/>
              </fill>
              <border>
                <bottom/>
              </border>
            </x14:dxf>
          </x14:cfRule>
          <x14:cfRule type="expression" priority="727" id="{DE7981CF-E253-4999-9A45-4233137F2A4F}">
            <xm:f>VLOOKUP(L28,Calendars!$O$1:$U$398,MATCH($X$1,Calendars!$O$1:$U$1,0),FALSE)="Holiday"</xm:f>
            <x14:dxf>
              <fill>
                <patternFill>
                  <bgColor rgb="FFFF99FF"/>
                </patternFill>
              </fill>
              <border>
                <bottom/>
              </border>
            </x14:dxf>
          </x14:cfRule>
          <xm:sqref>L27:N27</xm:sqref>
        </x14:conditionalFormatting>
        <x14:conditionalFormatting xmlns:xm="http://schemas.microsoft.com/office/excel/2006/main">
          <x14:cfRule type="expression" priority="707" id="{624D9EFA-9595-4E0B-80B3-E4DDBED2C371}">
            <xm:f>AND(VLOOKUP(J30,Calendars!$O$1:$U$398,MATCH($X$1,Calendars!$O$1:$U$1,0),FALSE)="Non Contract",$C$5&gt;0)</xm:f>
            <x14:dxf>
              <fill>
                <patternFill patternType="solid">
                  <fgColor theme="4" tint="0.79998168889431442"/>
                  <bgColor theme="8" tint="0.79995117038483843"/>
                </patternFill>
              </fill>
            </x14:dxf>
          </x14:cfRule>
          <xm:sqref>J29</xm:sqref>
        </x14:conditionalFormatting>
        <x14:conditionalFormatting xmlns:xm="http://schemas.microsoft.com/office/excel/2006/main">
          <x14:cfRule type="expression" priority="717" id="{89D5C034-C344-4F5F-B7FE-BBEA66D26889}">
            <xm:f>AND(VLOOKUP(J30,Calendars!$O$1:$U$398,MATCH($X$1,Calendars!$O$1:$U$1,0),FALSE)="",J29=0)</xm:f>
            <x14:dxf>
              <fill>
                <patternFill>
                  <bgColor theme="7" tint="0.79998168889431442"/>
                </patternFill>
              </fill>
            </x14:dxf>
          </x14:cfRule>
          <xm:sqref>J29</xm:sqref>
        </x14:conditionalFormatting>
        <x14:conditionalFormatting xmlns:xm="http://schemas.microsoft.com/office/excel/2006/main">
          <x14:cfRule type="expression" priority="706" id="{A54B0E98-C56A-4C87-861B-C0BDD2CB5153}">
            <xm:f>VLOOKUP(J30,Calendars!$O$1:$U$398,MATCH($X$1,Calendars!$O$1:$U$1,0),FALSE)="Non Contract"</xm:f>
            <x14:dxf>
              <fill>
                <patternFill patternType="lightDown"/>
              </fill>
              <border>
                <bottom/>
              </border>
            </x14:dxf>
          </x14:cfRule>
          <x14:cfRule type="expression" priority="715" id="{8F65EA6A-6259-49E4-A335-CC0F5B685971}">
            <xm:f>VLOOKUP(J30,Calendars!$O$1:$U$398,MATCH($X$1,Calendars!$O$1:$U$1,0),FALSE)="Holiday"</xm:f>
            <x14:dxf>
              <fill>
                <patternFill>
                  <bgColor rgb="FFFF99FF"/>
                </patternFill>
              </fill>
              <border>
                <bottom/>
              </border>
            </x14:dxf>
          </x14:cfRule>
          <xm:sqref>J29</xm:sqref>
        </x14:conditionalFormatting>
        <x14:conditionalFormatting xmlns:xm="http://schemas.microsoft.com/office/excel/2006/main">
          <x14:cfRule type="expression" priority="695" id="{5A08F11E-26EF-4661-AB2C-67CE2D03B368}">
            <xm:f>AND(VLOOKUP(K30,Calendars!$O$1:$U$398,MATCH($X$1,Calendars!$O$1:$U$1,0),FALSE)="Non Contract",$C$5&gt;0)</xm:f>
            <x14:dxf>
              <fill>
                <patternFill patternType="solid">
                  <fgColor theme="4" tint="0.79998168889431442"/>
                  <bgColor theme="8" tint="0.79995117038483843"/>
                </patternFill>
              </fill>
            </x14:dxf>
          </x14:cfRule>
          <xm:sqref>K29</xm:sqref>
        </x14:conditionalFormatting>
        <x14:conditionalFormatting xmlns:xm="http://schemas.microsoft.com/office/excel/2006/main">
          <x14:cfRule type="expression" priority="705" id="{3E9994A3-92A2-4745-8865-C016E5C1772B}">
            <xm:f>AND(VLOOKUP(K30,Calendars!$O$1:$U$398,MATCH($X$1,Calendars!$O$1:$U$1,0),FALSE)="",K29=0)</xm:f>
            <x14:dxf>
              <fill>
                <patternFill>
                  <bgColor theme="7" tint="0.79998168889431442"/>
                </patternFill>
              </fill>
            </x14:dxf>
          </x14:cfRule>
          <xm:sqref>K29</xm:sqref>
        </x14:conditionalFormatting>
        <x14:conditionalFormatting xmlns:xm="http://schemas.microsoft.com/office/excel/2006/main">
          <x14:cfRule type="expression" priority="694" id="{AAD36930-0F39-4442-BB1B-ADA8230D0E34}">
            <xm:f>VLOOKUP(K30,Calendars!$O$1:$U$398,MATCH($X$1,Calendars!$O$1:$U$1,0),FALSE)="Non Contract"</xm:f>
            <x14:dxf>
              <fill>
                <patternFill patternType="lightDown"/>
              </fill>
              <border>
                <bottom/>
              </border>
            </x14:dxf>
          </x14:cfRule>
          <x14:cfRule type="expression" priority="703" id="{1E520608-F446-4BC2-A4A4-113CC8CCBC5B}">
            <xm:f>VLOOKUP(K30,Calendars!$O$1:$U$398,MATCH($X$1,Calendars!$O$1:$U$1,0),FALSE)="Holiday"</xm:f>
            <x14:dxf>
              <fill>
                <patternFill>
                  <bgColor rgb="FFFF99FF"/>
                </patternFill>
              </fill>
              <border>
                <bottom/>
              </border>
            </x14:dxf>
          </x14:cfRule>
          <xm:sqref>K29</xm:sqref>
        </x14:conditionalFormatting>
        <x14:conditionalFormatting xmlns:xm="http://schemas.microsoft.com/office/excel/2006/main">
          <x14:cfRule type="expression" priority="683" id="{9E098718-250A-4198-ADBA-DC7BE2A179E1}">
            <xm:f>AND(VLOOKUP(L30,Calendars!$O$1:$U$398,MATCH($X$1,Calendars!$O$1:$U$1,0),FALSE)="Non Contract",$C$5&gt;0)</xm:f>
            <x14:dxf>
              <fill>
                <patternFill patternType="solid">
                  <fgColor theme="4" tint="0.79998168889431442"/>
                  <bgColor theme="8" tint="0.79995117038483843"/>
                </patternFill>
              </fill>
            </x14:dxf>
          </x14:cfRule>
          <xm:sqref>L29:N29</xm:sqref>
        </x14:conditionalFormatting>
        <x14:conditionalFormatting xmlns:xm="http://schemas.microsoft.com/office/excel/2006/main">
          <x14:cfRule type="expression" priority="693" id="{63A4C245-12DA-49F5-BC02-10D0BEAA6BA6}">
            <xm:f>AND(VLOOKUP(L30,Calendars!$O$1:$U$398,MATCH($X$1,Calendars!$O$1:$U$1,0),FALSE)="",L29=0)</xm:f>
            <x14:dxf>
              <fill>
                <patternFill>
                  <bgColor theme="7" tint="0.79998168889431442"/>
                </patternFill>
              </fill>
            </x14:dxf>
          </x14:cfRule>
          <xm:sqref>L29:N29</xm:sqref>
        </x14:conditionalFormatting>
        <x14:conditionalFormatting xmlns:xm="http://schemas.microsoft.com/office/excel/2006/main">
          <x14:cfRule type="expression" priority="682" id="{0C9719C0-00D6-4C14-84E6-E9E08DC525C7}">
            <xm:f>VLOOKUP(L30,Calendars!$O$1:$U$398,MATCH($X$1,Calendars!$O$1:$U$1,0),FALSE)="Non Contract"</xm:f>
            <x14:dxf>
              <fill>
                <patternFill patternType="lightDown"/>
              </fill>
              <border>
                <bottom/>
              </border>
            </x14:dxf>
          </x14:cfRule>
          <x14:cfRule type="expression" priority="691" id="{B7903CAA-B752-46BA-AC96-ED1D4FA91897}">
            <xm:f>VLOOKUP(L30,Calendars!$O$1:$U$398,MATCH($X$1,Calendars!$O$1:$U$1,0),FALSE)="Holiday"</xm:f>
            <x14:dxf>
              <fill>
                <patternFill>
                  <bgColor rgb="FFFF99FF"/>
                </patternFill>
              </fill>
              <border>
                <bottom/>
              </border>
            </x14:dxf>
          </x14:cfRule>
          <xm:sqref>L29:N29</xm:sqref>
        </x14:conditionalFormatting>
        <x14:conditionalFormatting xmlns:xm="http://schemas.microsoft.com/office/excel/2006/main">
          <x14:cfRule type="expression" priority="671" id="{BC97E1B6-C2E3-4889-85D9-35042839BA67}">
            <xm:f>AND(VLOOKUP(J32,Calendars!$O$1:$U$398,MATCH($X$1,Calendars!$O$1:$U$1,0),FALSE)="Non Contract",$C$5&gt;0)</xm:f>
            <x14:dxf>
              <fill>
                <patternFill patternType="solid">
                  <fgColor theme="4" tint="0.79998168889431442"/>
                  <bgColor theme="8" tint="0.79995117038483843"/>
                </patternFill>
              </fill>
            </x14:dxf>
          </x14:cfRule>
          <xm:sqref>J31</xm:sqref>
        </x14:conditionalFormatting>
        <x14:conditionalFormatting xmlns:xm="http://schemas.microsoft.com/office/excel/2006/main">
          <x14:cfRule type="expression" priority="681" id="{42F57A1C-313F-4F3A-8CC9-A73BFF53C0CE}">
            <xm:f>AND(VLOOKUP(J32,Calendars!$O$1:$U$398,MATCH($X$1,Calendars!$O$1:$U$1,0),FALSE)="",J31=0)</xm:f>
            <x14:dxf>
              <fill>
                <patternFill>
                  <bgColor theme="7" tint="0.79998168889431442"/>
                </patternFill>
              </fill>
            </x14:dxf>
          </x14:cfRule>
          <xm:sqref>J31</xm:sqref>
        </x14:conditionalFormatting>
        <x14:conditionalFormatting xmlns:xm="http://schemas.microsoft.com/office/excel/2006/main">
          <x14:cfRule type="expression" priority="670" id="{108DF354-72B2-4AD8-ACD9-683709F5D763}">
            <xm:f>VLOOKUP(J32,Calendars!$O$1:$U$398,MATCH($X$1,Calendars!$O$1:$U$1,0),FALSE)="Non Contract"</xm:f>
            <x14:dxf>
              <fill>
                <patternFill patternType="lightDown"/>
              </fill>
              <border>
                <bottom/>
              </border>
            </x14:dxf>
          </x14:cfRule>
          <x14:cfRule type="expression" priority="679" id="{7CBBDC79-6A73-4EB2-9D2F-294EC376EAB0}">
            <xm:f>VLOOKUP(J32,Calendars!$O$1:$U$398,MATCH($X$1,Calendars!$O$1:$U$1,0),FALSE)="Holiday"</xm:f>
            <x14:dxf>
              <fill>
                <patternFill>
                  <bgColor rgb="FFFF99FF"/>
                </patternFill>
              </fill>
              <border>
                <bottom/>
              </border>
            </x14:dxf>
          </x14:cfRule>
          <xm:sqref>J31</xm:sqref>
        </x14:conditionalFormatting>
        <x14:conditionalFormatting xmlns:xm="http://schemas.microsoft.com/office/excel/2006/main">
          <x14:cfRule type="expression" priority="659" id="{2A8289CD-EA55-43E0-92BA-752BCF6302A4}">
            <xm:f>AND(VLOOKUP(K32,Calendars!$O$1:$U$398,MATCH($X$1,Calendars!$O$1:$U$1,0),FALSE)="Non Contract",$C$5&gt;0)</xm:f>
            <x14:dxf>
              <fill>
                <patternFill patternType="solid">
                  <fgColor theme="4" tint="0.79998168889431442"/>
                  <bgColor theme="8" tint="0.79995117038483843"/>
                </patternFill>
              </fill>
            </x14:dxf>
          </x14:cfRule>
          <xm:sqref>K31</xm:sqref>
        </x14:conditionalFormatting>
        <x14:conditionalFormatting xmlns:xm="http://schemas.microsoft.com/office/excel/2006/main">
          <x14:cfRule type="expression" priority="669" id="{130AC20F-80C1-43E4-903C-54BFE6E4261E}">
            <xm:f>AND(VLOOKUP(K32,Calendars!$O$1:$U$398,MATCH($X$1,Calendars!$O$1:$U$1,0),FALSE)="",K31=0)</xm:f>
            <x14:dxf>
              <fill>
                <patternFill>
                  <bgColor theme="7" tint="0.79998168889431442"/>
                </patternFill>
              </fill>
            </x14:dxf>
          </x14:cfRule>
          <xm:sqref>K31</xm:sqref>
        </x14:conditionalFormatting>
        <x14:conditionalFormatting xmlns:xm="http://schemas.microsoft.com/office/excel/2006/main">
          <x14:cfRule type="expression" priority="658" id="{F3BE86C3-FE49-47F2-AB8C-63BD81EE8B47}">
            <xm:f>VLOOKUP(K32,Calendars!$O$1:$U$398,MATCH($X$1,Calendars!$O$1:$U$1,0),FALSE)="Non Contract"</xm:f>
            <x14:dxf>
              <fill>
                <patternFill patternType="lightDown"/>
              </fill>
              <border>
                <bottom/>
              </border>
            </x14:dxf>
          </x14:cfRule>
          <x14:cfRule type="expression" priority="667" id="{354493F4-B7B9-4C82-80F5-16B036DED4AF}">
            <xm:f>VLOOKUP(K32,Calendars!$O$1:$U$398,MATCH($X$1,Calendars!$O$1:$U$1,0),FALSE)="Holiday"</xm:f>
            <x14:dxf>
              <fill>
                <patternFill>
                  <bgColor rgb="FFFF99FF"/>
                </patternFill>
              </fill>
              <border>
                <bottom/>
              </border>
            </x14:dxf>
          </x14:cfRule>
          <xm:sqref>K31</xm:sqref>
        </x14:conditionalFormatting>
        <x14:conditionalFormatting xmlns:xm="http://schemas.microsoft.com/office/excel/2006/main">
          <x14:cfRule type="expression" priority="647" id="{52115777-ADC7-4E93-81E8-B11313A517B1}">
            <xm:f>AND(VLOOKUP(L32,Calendars!$O$1:$U$398,MATCH($X$1,Calendars!$O$1:$U$1,0),FALSE)="Non Contract",$C$5&gt;0)</xm:f>
            <x14:dxf>
              <fill>
                <patternFill patternType="solid">
                  <fgColor theme="4" tint="0.79998168889431442"/>
                  <bgColor theme="8" tint="0.79995117038483843"/>
                </patternFill>
              </fill>
            </x14:dxf>
          </x14:cfRule>
          <xm:sqref>L31:N31</xm:sqref>
        </x14:conditionalFormatting>
        <x14:conditionalFormatting xmlns:xm="http://schemas.microsoft.com/office/excel/2006/main">
          <x14:cfRule type="expression" priority="657" id="{9245C258-DF7A-4AE9-8821-A63373D947B5}">
            <xm:f>AND(VLOOKUP(L32,Calendars!$O$1:$U$398,MATCH($X$1,Calendars!$O$1:$U$1,0),FALSE)="",L31=0)</xm:f>
            <x14:dxf>
              <fill>
                <patternFill>
                  <bgColor theme="7" tint="0.79998168889431442"/>
                </patternFill>
              </fill>
            </x14:dxf>
          </x14:cfRule>
          <xm:sqref>L31:N31</xm:sqref>
        </x14:conditionalFormatting>
        <x14:conditionalFormatting xmlns:xm="http://schemas.microsoft.com/office/excel/2006/main">
          <x14:cfRule type="expression" priority="646" id="{576EFA39-CD0A-46BF-B3E3-4E1A0F731613}">
            <xm:f>VLOOKUP(L32,Calendars!$O$1:$U$398,MATCH($X$1,Calendars!$O$1:$U$1,0),FALSE)="Non Contract"</xm:f>
            <x14:dxf>
              <fill>
                <patternFill patternType="lightDown"/>
              </fill>
              <border>
                <bottom/>
              </border>
            </x14:dxf>
          </x14:cfRule>
          <x14:cfRule type="expression" priority="655" id="{3996B2E4-23B8-4394-814D-2CEA713120AA}">
            <xm:f>VLOOKUP(L32,Calendars!$O$1:$U$398,MATCH($X$1,Calendars!$O$1:$U$1,0),FALSE)="Holiday"</xm:f>
            <x14:dxf>
              <fill>
                <patternFill>
                  <bgColor rgb="FFFF99FF"/>
                </patternFill>
              </fill>
              <border>
                <bottom/>
              </border>
            </x14:dxf>
          </x14:cfRule>
          <xm:sqref>L31:N31</xm:sqref>
        </x14:conditionalFormatting>
        <x14:conditionalFormatting xmlns:xm="http://schemas.microsoft.com/office/excel/2006/main">
          <x14:cfRule type="expression" priority="635" id="{A7202106-B553-4C37-9F7F-4C30EF063AE3}">
            <xm:f>AND(VLOOKUP(J34,Calendars!$O$1:$U$398,MATCH($X$1,Calendars!$O$1:$U$1,0),FALSE)="Non Contract",$C$5&gt;0)</xm:f>
            <x14:dxf>
              <fill>
                <patternFill patternType="solid">
                  <fgColor theme="4" tint="0.79998168889431442"/>
                  <bgColor theme="8" tint="0.79995117038483843"/>
                </patternFill>
              </fill>
            </x14:dxf>
          </x14:cfRule>
          <xm:sqref>J33</xm:sqref>
        </x14:conditionalFormatting>
        <x14:conditionalFormatting xmlns:xm="http://schemas.microsoft.com/office/excel/2006/main">
          <x14:cfRule type="expression" priority="645" id="{F63DD71B-76A9-4B5E-BF8B-E5CF12151B53}">
            <xm:f>AND(VLOOKUP(J34,Calendars!$O$1:$U$398,MATCH($X$1,Calendars!$O$1:$U$1,0),FALSE)="",J33=0)</xm:f>
            <x14:dxf>
              <fill>
                <patternFill>
                  <bgColor theme="7" tint="0.79998168889431442"/>
                </patternFill>
              </fill>
            </x14:dxf>
          </x14:cfRule>
          <xm:sqref>J33</xm:sqref>
        </x14:conditionalFormatting>
        <x14:conditionalFormatting xmlns:xm="http://schemas.microsoft.com/office/excel/2006/main">
          <x14:cfRule type="expression" priority="634" id="{3B645A6C-2E75-40A8-96E1-F77340AABBB8}">
            <xm:f>VLOOKUP(J34,Calendars!$O$1:$U$398,MATCH($X$1,Calendars!$O$1:$U$1,0),FALSE)="Non Contract"</xm:f>
            <x14:dxf>
              <fill>
                <patternFill patternType="lightDown"/>
              </fill>
              <border>
                <bottom/>
              </border>
            </x14:dxf>
          </x14:cfRule>
          <x14:cfRule type="expression" priority="643" id="{6A41AB1D-C8E4-4B6B-B461-9AC8B674AB0B}">
            <xm:f>VLOOKUP(J34,Calendars!$O$1:$U$398,MATCH($X$1,Calendars!$O$1:$U$1,0),FALSE)="Holiday"</xm:f>
            <x14:dxf>
              <fill>
                <patternFill>
                  <bgColor rgb="FFFF99FF"/>
                </patternFill>
              </fill>
              <border>
                <bottom/>
              </border>
            </x14:dxf>
          </x14:cfRule>
          <xm:sqref>J33</xm:sqref>
        </x14:conditionalFormatting>
        <x14:conditionalFormatting xmlns:xm="http://schemas.microsoft.com/office/excel/2006/main">
          <x14:cfRule type="expression" priority="623" id="{BEB45368-3FB8-4BBD-BB0E-3219203817BF}">
            <xm:f>AND(VLOOKUP(K34,Calendars!$O$1:$U$398,MATCH($X$1,Calendars!$O$1:$U$1,0),FALSE)="Non Contract",$C$5&gt;0)</xm:f>
            <x14:dxf>
              <fill>
                <patternFill patternType="solid">
                  <fgColor theme="4" tint="0.79998168889431442"/>
                  <bgColor theme="8" tint="0.79995117038483843"/>
                </patternFill>
              </fill>
            </x14:dxf>
          </x14:cfRule>
          <xm:sqref>K33</xm:sqref>
        </x14:conditionalFormatting>
        <x14:conditionalFormatting xmlns:xm="http://schemas.microsoft.com/office/excel/2006/main">
          <x14:cfRule type="expression" priority="633" id="{94070422-79C9-4E9C-B191-A484F74E19F9}">
            <xm:f>AND(VLOOKUP(K34,Calendars!$O$1:$U$398,MATCH($X$1,Calendars!$O$1:$U$1,0),FALSE)="",K33=0)</xm:f>
            <x14:dxf>
              <fill>
                <patternFill>
                  <bgColor theme="7" tint="0.79998168889431442"/>
                </patternFill>
              </fill>
            </x14:dxf>
          </x14:cfRule>
          <xm:sqref>K33</xm:sqref>
        </x14:conditionalFormatting>
        <x14:conditionalFormatting xmlns:xm="http://schemas.microsoft.com/office/excel/2006/main">
          <x14:cfRule type="expression" priority="622" id="{CA0BCF65-CB26-4E7E-921B-8359949E3268}">
            <xm:f>VLOOKUP(K34,Calendars!$O$1:$U$398,MATCH($X$1,Calendars!$O$1:$U$1,0),FALSE)="Non Contract"</xm:f>
            <x14:dxf>
              <fill>
                <patternFill patternType="lightDown"/>
              </fill>
              <border>
                <bottom/>
              </border>
            </x14:dxf>
          </x14:cfRule>
          <x14:cfRule type="expression" priority="631" id="{9002CD5E-A6F7-40F7-AE6A-E63EDEB5A2B6}">
            <xm:f>VLOOKUP(K34,Calendars!$O$1:$U$398,MATCH($X$1,Calendars!$O$1:$U$1,0),FALSE)="Holiday"</xm:f>
            <x14:dxf>
              <fill>
                <patternFill>
                  <bgColor rgb="FFFF99FF"/>
                </patternFill>
              </fill>
              <border>
                <bottom/>
              </border>
            </x14:dxf>
          </x14:cfRule>
          <xm:sqref>K33</xm:sqref>
        </x14:conditionalFormatting>
        <x14:conditionalFormatting xmlns:xm="http://schemas.microsoft.com/office/excel/2006/main">
          <x14:cfRule type="expression" priority="611" id="{2C75A618-E7A1-46E3-AF9C-54E740C4465B}">
            <xm:f>AND(VLOOKUP(L34,Calendars!$O$1:$U$398,MATCH($X$1,Calendars!$O$1:$U$1,0),FALSE)="Non Contract",$C$5&gt;0)</xm:f>
            <x14:dxf>
              <fill>
                <patternFill patternType="solid">
                  <fgColor theme="4" tint="0.79998168889431442"/>
                  <bgColor theme="8" tint="0.79995117038483843"/>
                </patternFill>
              </fill>
            </x14:dxf>
          </x14:cfRule>
          <xm:sqref>L33:N33</xm:sqref>
        </x14:conditionalFormatting>
        <x14:conditionalFormatting xmlns:xm="http://schemas.microsoft.com/office/excel/2006/main">
          <x14:cfRule type="expression" priority="621" id="{B4769994-7F8A-4D97-A4D3-048BB52CA635}">
            <xm:f>AND(VLOOKUP(L34,Calendars!$O$1:$U$398,MATCH($X$1,Calendars!$O$1:$U$1,0),FALSE)="",L33=0)</xm:f>
            <x14:dxf>
              <fill>
                <patternFill>
                  <bgColor theme="7" tint="0.79998168889431442"/>
                </patternFill>
              </fill>
            </x14:dxf>
          </x14:cfRule>
          <xm:sqref>L33:N33</xm:sqref>
        </x14:conditionalFormatting>
        <x14:conditionalFormatting xmlns:xm="http://schemas.microsoft.com/office/excel/2006/main">
          <x14:cfRule type="expression" priority="610" id="{EF941389-8D82-437A-886D-8094A78ABCE5}">
            <xm:f>VLOOKUP(L34,Calendars!$O$1:$U$398,MATCH($X$1,Calendars!$O$1:$U$1,0),FALSE)="Non Contract"</xm:f>
            <x14:dxf>
              <fill>
                <patternFill patternType="lightDown"/>
              </fill>
              <border>
                <bottom/>
              </border>
            </x14:dxf>
          </x14:cfRule>
          <x14:cfRule type="expression" priority="619" id="{A8554CF1-1174-446B-8C63-9B9FC9CC4572}">
            <xm:f>VLOOKUP(L34,Calendars!$O$1:$U$398,MATCH($X$1,Calendars!$O$1:$U$1,0),FALSE)="Holiday"</xm:f>
            <x14:dxf>
              <fill>
                <patternFill>
                  <bgColor rgb="FFFF99FF"/>
                </patternFill>
              </fill>
              <border>
                <bottom/>
              </border>
            </x14:dxf>
          </x14:cfRule>
          <xm:sqref>L33:N33</xm:sqref>
        </x14:conditionalFormatting>
        <x14:conditionalFormatting xmlns:xm="http://schemas.microsoft.com/office/excel/2006/main">
          <x14:cfRule type="expression" priority="599" id="{1F101E2C-D80E-4FF2-A36E-941528CC6600}">
            <xm:f>AND(VLOOKUP(J36,Calendars!$O$1:$U$398,MATCH($X$1,Calendars!$O$1:$U$1,0),FALSE)="Non Contract",$C$5&gt;0)</xm:f>
            <x14:dxf>
              <fill>
                <patternFill patternType="solid">
                  <fgColor theme="4" tint="0.79998168889431442"/>
                  <bgColor theme="8" tint="0.79995117038483843"/>
                </patternFill>
              </fill>
            </x14:dxf>
          </x14:cfRule>
          <xm:sqref>J35</xm:sqref>
        </x14:conditionalFormatting>
        <x14:conditionalFormatting xmlns:xm="http://schemas.microsoft.com/office/excel/2006/main">
          <x14:cfRule type="expression" priority="609" id="{F487DFA0-8B42-4C3C-AD08-05FF11487841}">
            <xm:f>AND(VLOOKUP(J36,Calendars!$O$1:$U$398,MATCH($X$1,Calendars!$O$1:$U$1,0),FALSE)="",J35=0)</xm:f>
            <x14:dxf>
              <fill>
                <patternFill>
                  <bgColor theme="7" tint="0.79998168889431442"/>
                </patternFill>
              </fill>
            </x14:dxf>
          </x14:cfRule>
          <xm:sqref>J35</xm:sqref>
        </x14:conditionalFormatting>
        <x14:conditionalFormatting xmlns:xm="http://schemas.microsoft.com/office/excel/2006/main">
          <x14:cfRule type="expression" priority="598" id="{086185AD-56FD-4B80-A2B3-77A310FAB6BB}">
            <xm:f>VLOOKUP(J36,Calendars!$O$1:$U$398,MATCH($X$1,Calendars!$O$1:$U$1,0),FALSE)="Non Contract"</xm:f>
            <x14:dxf>
              <fill>
                <patternFill patternType="lightDown"/>
              </fill>
              <border>
                <bottom/>
              </border>
            </x14:dxf>
          </x14:cfRule>
          <x14:cfRule type="expression" priority="607" id="{DD1DC088-3C9E-47FF-B01F-F62CDE419E76}">
            <xm:f>VLOOKUP(J36,Calendars!$O$1:$U$398,MATCH($X$1,Calendars!$O$1:$U$1,0),FALSE)="Holiday"</xm:f>
            <x14:dxf>
              <fill>
                <patternFill>
                  <bgColor rgb="FFFF99FF"/>
                </patternFill>
              </fill>
              <border>
                <bottom/>
              </border>
            </x14:dxf>
          </x14:cfRule>
          <xm:sqref>J35</xm:sqref>
        </x14:conditionalFormatting>
        <x14:conditionalFormatting xmlns:xm="http://schemas.microsoft.com/office/excel/2006/main">
          <x14:cfRule type="expression" priority="587" id="{48E5882B-3153-48B4-A948-5C1DFD2CA967}">
            <xm:f>AND(VLOOKUP(K36,Calendars!$O$1:$U$398,MATCH($X$1,Calendars!$O$1:$U$1,0),FALSE)="Non Contract",$C$5&gt;0)</xm:f>
            <x14:dxf>
              <fill>
                <patternFill patternType="solid">
                  <fgColor theme="4" tint="0.79998168889431442"/>
                  <bgColor theme="8" tint="0.79995117038483843"/>
                </patternFill>
              </fill>
            </x14:dxf>
          </x14:cfRule>
          <xm:sqref>K35</xm:sqref>
        </x14:conditionalFormatting>
        <x14:conditionalFormatting xmlns:xm="http://schemas.microsoft.com/office/excel/2006/main">
          <x14:cfRule type="expression" priority="597" id="{1271D609-A4F1-48CE-855F-757376403788}">
            <xm:f>AND(VLOOKUP(K36,Calendars!$O$1:$U$398,MATCH($X$1,Calendars!$O$1:$U$1,0),FALSE)="",K35=0)</xm:f>
            <x14:dxf>
              <fill>
                <patternFill>
                  <bgColor theme="7" tint="0.79998168889431442"/>
                </patternFill>
              </fill>
            </x14:dxf>
          </x14:cfRule>
          <xm:sqref>K35</xm:sqref>
        </x14:conditionalFormatting>
        <x14:conditionalFormatting xmlns:xm="http://schemas.microsoft.com/office/excel/2006/main">
          <x14:cfRule type="expression" priority="586" id="{8EE27335-5CD1-43DF-BC50-54AE0BE4A516}">
            <xm:f>VLOOKUP(K36,Calendars!$O$1:$U$398,MATCH($X$1,Calendars!$O$1:$U$1,0),FALSE)="Non Contract"</xm:f>
            <x14:dxf>
              <fill>
                <patternFill patternType="lightDown"/>
              </fill>
              <border>
                <bottom/>
              </border>
            </x14:dxf>
          </x14:cfRule>
          <x14:cfRule type="expression" priority="595" id="{3BB01134-6865-45AD-8D6D-FC63AF595944}">
            <xm:f>VLOOKUP(K36,Calendars!$O$1:$U$398,MATCH($X$1,Calendars!$O$1:$U$1,0),FALSE)="Holiday"</xm:f>
            <x14:dxf>
              <fill>
                <patternFill>
                  <bgColor rgb="FFFF99FF"/>
                </patternFill>
              </fill>
              <border>
                <bottom/>
              </border>
            </x14:dxf>
          </x14:cfRule>
          <xm:sqref>K35</xm:sqref>
        </x14:conditionalFormatting>
        <x14:conditionalFormatting xmlns:xm="http://schemas.microsoft.com/office/excel/2006/main">
          <x14:cfRule type="expression" priority="575" id="{95676AC2-973D-4272-BC52-42662B4758AA}">
            <xm:f>AND(VLOOKUP(L36,Calendars!$O$1:$U$398,MATCH($X$1,Calendars!$O$1:$U$1,0),FALSE)="Non Contract",$C$5&gt;0)</xm:f>
            <x14:dxf>
              <fill>
                <patternFill patternType="solid">
                  <fgColor theme="4" tint="0.79998168889431442"/>
                  <bgColor theme="8" tint="0.79995117038483843"/>
                </patternFill>
              </fill>
            </x14:dxf>
          </x14:cfRule>
          <xm:sqref>L35:N35</xm:sqref>
        </x14:conditionalFormatting>
        <x14:conditionalFormatting xmlns:xm="http://schemas.microsoft.com/office/excel/2006/main">
          <x14:cfRule type="expression" priority="585" id="{FA404E16-579F-4BE8-8799-C40A03FECC6D}">
            <xm:f>AND(VLOOKUP(L36,Calendars!$O$1:$U$398,MATCH($X$1,Calendars!$O$1:$U$1,0),FALSE)="",L35=0)</xm:f>
            <x14:dxf>
              <fill>
                <patternFill>
                  <bgColor theme="7" tint="0.79998168889431442"/>
                </patternFill>
              </fill>
            </x14:dxf>
          </x14:cfRule>
          <xm:sqref>L35:N35</xm:sqref>
        </x14:conditionalFormatting>
        <x14:conditionalFormatting xmlns:xm="http://schemas.microsoft.com/office/excel/2006/main">
          <x14:cfRule type="expression" priority="574" id="{5F9B0652-354E-4123-98E0-E9A5037065B7}">
            <xm:f>VLOOKUP(L36,Calendars!$O$1:$U$398,MATCH($X$1,Calendars!$O$1:$U$1,0),FALSE)="Non Contract"</xm:f>
            <x14:dxf>
              <fill>
                <patternFill patternType="lightDown"/>
              </fill>
              <border>
                <bottom/>
              </border>
            </x14:dxf>
          </x14:cfRule>
          <x14:cfRule type="expression" priority="583" id="{6D12BB4D-CEA8-48A0-805E-79D30F0C0DDA}">
            <xm:f>VLOOKUP(L36,Calendars!$O$1:$U$398,MATCH($X$1,Calendars!$O$1:$U$1,0),FALSE)="Holiday"</xm:f>
            <x14:dxf>
              <fill>
                <patternFill>
                  <bgColor rgb="FFFF99FF"/>
                </patternFill>
              </fill>
              <border>
                <bottom/>
              </border>
            </x14:dxf>
          </x14:cfRule>
          <xm:sqref>L35:N35</xm:sqref>
        </x14:conditionalFormatting>
        <x14:conditionalFormatting xmlns:xm="http://schemas.microsoft.com/office/excel/2006/main">
          <x14:cfRule type="expression" priority="383" id="{BDBADD48-2C12-41AE-B0B0-3823B61EEB0E}">
            <xm:f>AND(VLOOKUP(X28,Calendars!$O$1:$U$398,MATCH($X$1,Calendars!$O$1:$U$1,0),FALSE)="Non Contract",$C$5&gt;0)</xm:f>
            <x14:dxf>
              <fill>
                <patternFill patternType="solid">
                  <fgColor theme="4" tint="0.79998168889431442"/>
                  <bgColor theme="8" tint="0.79995117038483843"/>
                </patternFill>
              </fill>
            </x14:dxf>
          </x14:cfRule>
          <xm:sqref>X27</xm:sqref>
        </x14:conditionalFormatting>
        <x14:conditionalFormatting xmlns:xm="http://schemas.microsoft.com/office/excel/2006/main">
          <x14:cfRule type="expression" priority="393" id="{32411666-13F7-4E95-9C11-5F577A33C19B}">
            <xm:f>AND(VLOOKUP(X28,Calendars!$O$1:$U$398,MATCH($X$1,Calendars!$O$1:$U$1,0),FALSE)="",X27=0)</xm:f>
            <x14:dxf>
              <fill>
                <patternFill>
                  <bgColor theme="7" tint="0.79998168889431442"/>
                </patternFill>
              </fill>
            </x14:dxf>
          </x14:cfRule>
          <xm:sqref>X27</xm:sqref>
        </x14:conditionalFormatting>
        <x14:conditionalFormatting xmlns:xm="http://schemas.microsoft.com/office/excel/2006/main">
          <x14:cfRule type="expression" priority="382" id="{F6A880FE-23F7-418F-A4A6-3688EF26F5A0}">
            <xm:f>VLOOKUP(X28,Calendars!$O$1:$U$398,MATCH($X$1,Calendars!$O$1:$U$1,0),FALSE)="Non Contract"</xm:f>
            <x14:dxf>
              <fill>
                <patternFill patternType="lightDown"/>
              </fill>
              <border>
                <bottom/>
              </border>
            </x14:dxf>
          </x14:cfRule>
          <x14:cfRule type="expression" priority="391" id="{621A3EA9-0818-44C0-B447-0367985EE965}">
            <xm:f>VLOOKUP(X28,Calendars!$O$1:$U$398,MATCH($X$1,Calendars!$O$1:$U$1,0),FALSE)="Holiday"</xm:f>
            <x14:dxf>
              <fill>
                <patternFill>
                  <bgColor rgb="FFFF99FF"/>
                </patternFill>
              </fill>
              <border>
                <bottom/>
              </border>
            </x14:dxf>
          </x14:cfRule>
          <xm:sqref>X27</xm:sqref>
        </x14:conditionalFormatting>
        <x14:conditionalFormatting xmlns:xm="http://schemas.microsoft.com/office/excel/2006/main">
          <x14:cfRule type="expression" priority="371" id="{3DEB81C4-394E-4953-A8D9-39E3D6E04C26}">
            <xm:f>AND(VLOOKUP(Y28,Calendars!$O$1:$U$398,MATCH($X$1,Calendars!$O$1:$U$1,0),FALSE)="Non Contract",$C$5&gt;0)</xm:f>
            <x14:dxf>
              <fill>
                <patternFill patternType="solid">
                  <fgColor theme="4" tint="0.79998168889431442"/>
                  <bgColor theme="8" tint="0.79995117038483843"/>
                </patternFill>
              </fill>
            </x14:dxf>
          </x14:cfRule>
          <xm:sqref>Y27</xm:sqref>
        </x14:conditionalFormatting>
        <x14:conditionalFormatting xmlns:xm="http://schemas.microsoft.com/office/excel/2006/main">
          <x14:cfRule type="expression" priority="381" id="{DF649A93-E39E-42DD-A649-AD753CC6D0D6}">
            <xm:f>AND(VLOOKUP(Y28,Calendars!$O$1:$U$398,MATCH($X$1,Calendars!$O$1:$U$1,0),FALSE)="",Y27=0)</xm:f>
            <x14:dxf>
              <fill>
                <patternFill>
                  <bgColor theme="7" tint="0.79998168889431442"/>
                </patternFill>
              </fill>
            </x14:dxf>
          </x14:cfRule>
          <xm:sqref>Y27</xm:sqref>
        </x14:conditionalFormatting>
        <x14:conditionalFormatting xmlns:xm="http://schemas.microsoft.com/office/excel/2006/main">
          <x14:cfRule type="expression" priority="370" id="{9F04B994-BE5A-4390-B888-4AF73C7B3266}">
            <xm:f>VLOOKUP(Y28,Calendars!$O$1:$U$398,MATCH($X$1,Calendars!$O$1:$U$1,0),FALSE)="Non Contract"</xm:f>
            <x14:dxf>
              <fill>
                <patternFill patternType="lightDown"/>
              </fill>
              <border>
                <bottom/>
              </border>
            </x14:dxf>
          </x14:cfRule>
          <x14:cfRule type="expression" priority="379" id="{02796B8A-0BF8-4639-8645-77D875F0BB67}">
            <xm:f>VLOOKUP(Y28,Calendars!$O$1:$U$398,MATCH($X$1,Calendars!$O$1:$U$1,0),FALSE)="Holiday"</xm:f>
            <x14:dxf>
              <fill>
                <patternFill>
                  <bgColor rgb="FFFF99FF"/>
                </patternFill>
              </fill>
              <border>
                <bottom/>
              </border>
            </x14:dxf>
          </x14:cfRule>
          <xm:sqref>Y27</xm:sqref>
        </x14:conditionalFormatting>
        <x14:conditionalFormatting xmlns:xm="http://schemas.microsoft.com/office/excel/2006/main">
          <x14:cfRule type="expression" priority="359" id="{E881B63A-B6CD-4153-9FE0-1ABF6755059C}">
            <xm:f>AND(VLOOKUP(Z28,Calendars!$O$1:$U$398,MATCH($X$1,Calendars!$O$1:$U$1,0),FALSE)="Non Contract",$C$5&gt;0)</xm:f>
            <x14:dxf>
              <fill>
                <patternFill patternType="solid">
                  <fgColor theme="4" tint="0.79998168889431442"/>
                  <bgColor theme="8" tint="0.79995117038483843"/>
                </patternFill>
              </fill>
            </x14:dxf>
          </x14:cfRule>
          <xm:sqref>Z27:AB27</xm:sqref>
        </x14:conditionalFormatting>
        <x14:conditionalFormatting xmlns:xm="http://schemas.microsoft.com/office/excel/2006/main">
          <x14:cfRule type="expression" priority="369" id="{6D5C40D2-E2FA-438C-86E1-00ACCFB1A379}">
            <xm:f>AND(VLOOKUP(Z28,Calendars!$O$1:$U$398,MATCH($X$1,Calendars!$O$1:$U$1,0),FALSE)="",Z27=0)</xm:f>
            <x14:dxf>
              <fill>
                <patternFill>
                  <bgColor theme="7" tint="0.79998168889431442"/>
                </patternFill>
              </fill>
            </x14:dxf>
          </x14:cfRule>
          <xm:sqref>Z27:AB27</xm:sqref>
        </x14:conditionalFormatting>
        <x14:conditionalFormatting xmlns:xm="http://schemas.microsoft.com/office/excel/2006/main">
          <x14:cfRule type="expression" priority="358" id="{A1C00D49-CEA5-48A4-9E2D-EEB37EEC7851}">
            <xm:f>VLOOKUP(Z28,Calendars!$O$1:$U$398,MATCH($X$1,Calendars!$O$1:$U$1,0),FALSE)="Non Contract"</xm:f>
            <x14:dxf>
              <fill>
                <patternFill patternType="lightDown"/>
              </fill>
              <border>
                <bottom/>
              </border>
            </x14:dxf>
          </x14:cfRule>
          <x14:cfRule type="expression" priority="367" id="{42B7D529-3FB2-4C1D-A9E9-F312110CB21B}">
            <xm:f>VLOOKUP(Z28,Calendars!$O$1:$U$398,MATCH($X$1,Calendars!$O$1:$U$1,0),FALSE)="Holiday"</xm:f>
            <x14:dxf>
              <fill>
                <patternFill>
                  <bgColor rgb="FFFF99FF"/>
                </patternFill>
              </fill>
              <border>
                <bottom/>
              </border>
            </x14:dxf>
          </x14:cfRule>
          <xm:sqref>Z27:AB27</xm:sqref>
        </x14:conditionalFormatting>
        <x14:conditionalFormatting xmlns:xm="http://schemas.microsoft.com/office/excel/2006/main">
          <x14:cfRule type="expression" priority="347" id="{1ABE02FB-466F-4EE0-A003-C573E281B3AB}">
            <xm:f>AND(VLOOKUP(X30,Calendars!$O$1:$U$398,MATCH($X$1,Calendars!$O$1:$U$1,0),FALSE)="Non Contract",$C$5&gt;0)</xm:f>
            <x14:dxf>
              <fill>
                <patternFill patternType="solid">
                  <fgColor theme="4" tint="0.79998168889431442"/>
                  <bgColor theme="8" tint="0.79995117038483843"/>
                </patternFill>
              </fill>
            </x14:dxf>
          </x14:cfRule>
          <xm:sqref>X29</xm:sqref>
        </x14:conditionalFormatting>
        <x14:conditionalFormatting xmlns:xm="http://schemas.microsoft.com/office/excel/2006/main">
          <x14:cfRule type="expression" priority="357" id="{E442864B-5095-4A42-9ACD-80D80668100C}">
            <xm:f>AND(VLOOKUP(X30,Calendars!$O$1:$U$398,MATCH($X$1,Calendars!$O$1:$U$1,0),FALSE)="",X29=0)</xm:f>
            <x14:dxf>
              <fill>
                <patternFill>
                  <bgColor theme="7" tint="0.79998168889431442"/>
                </patternFill>
              </fill>
            </x14:dxf>
          </x14:cfRule>
          <xm:sqref>X29</xm:sqref>
        </x14:conditionalFormatting>
        <x14:conditionalFormatting xmlns:xm="http://schemas.microsoft.com/office/excel/2006/main">
          <x14:cfRule type="expression" priority="346" id="{95C4C2CA-64D7-4571-924E-4F913F2D91FB}">
            <xm:f>VLOOKUP(X30,Calendars!$O$1:$U$398,MATCH($X$1,Calendars!$O$1:$U$1,0),FALSE)="Non Contract"</xm:f>
            <x14:dxf>
              <fill>
                <patternFill patternType="lightDown"/>
              </fill>
              <border>
                <bottom/>
              </border>
            </x14:dxf>
          </x14:cfRule>
          <x14:cfRule type="expression" priority="355" id="{863A879A-7FCB-422C-B8D4-3875FE0B8FFB}">
            <xm:f>VLOOKUP(X30,Calendars!$O$1:$U$398,MATCH($X$1,Calendars!$O$1:$U$1,0),FALSE)="Holiday"</xm:f>
            <x14:dxf>
              <fill>
                <patternFill>
                  <bgColor rgb="FFFF99FF"/>
                </patternFill>
              </fill>
              <border>
                <bottom/>
              </border>
            </x14:dxf>
          </x14:cfRule>
          <xm:sqref>X29</xm:sqref>
        </x14:conditionalFormatting>
        <x14:conditionalFormatting xmlns:xm="http://schemas.microsoft.com/office/excel/2006/main">
          <x14:cfRule type="expression" priority="335" id="{062658A7-F5D9-4350-9482-3164A327A1BB}">
            <xm:f>AND(VLOOKUP(Y30,Calendars!$O$1:$U$398,MATCH($X$1,Calendars!$O$1:$U$1,0),FALSE)="Non Contract",$C$5&gt;0)</xm:f>
            <x14:dxf>
              <fill>
                <patternFill patternType="solid">
                  <fgColor theme="4" tint="0.79998168889431442"/>
                  <bgColor theme="8" tint="0.79995117038483843"/>
                </patternFill>
              </fill>
            </x14:dxf>
          </x14:cfRule>
          <xm:sqref>Y29</xm:sqref>
        </x14:conditionalFormatting>
        <x14:conditionalFormatting xmlns:xm="http://schemas.microsoft.com/office/excel/2006/main">
          <x14:cfRule type="expression" priority="345" id="{415B848E-C89A-4134-A386-186D6B89A5A3}">
            <xm:f>AND(VLOOKUP(Y30,Calendars!$O$1:$U$398,MATCH($X$1,Calendars!$O$1:$U$1,0),FALSE)="",Y29=0)</xm:f>
            <x14:dxf>
              <fill>
                <patternFill>
                  <bgColor theme="7" tint="0.79998168889431442"/>
                </patternFill>
              </fill>
            </x14:dxf>
          </x14:cfRule>
          <xm:sqref>Y29</xm:sqref>
        </x14:conditionalFormatting>
        <x14:conditionalFormatting xmlns:xm="http://schemas.microsoft.com/office/excel/2006/main">
          <x14:cfRule type="expression" priority="334" id="{1DDBF5A8-9624-4D7C-B2CB-BE85C017447D}">
            <xm:f>VLOOKUP(Y30,Calendars!$O$1:$U$398,MATCH($X$1,Calendars!$O$1:$U$1,0),FALSE)="Non Contract"</xm:f>
            <x14:dxf>
              <fill>
                <patternFill patternType="lightDown"/>
              </fill>
              <border>
                <bottom/>
              </border>
            </x14:dxf>
          </x14:cfRule>
          <x14:cfRule type="expression" priority="343" id="{9349F070-96C2-413B-AE36-40665E95F356}">
            <xm:f>VLOOKUP(Y30,Calendars!$O$1:$U$398,MATCH($X$1,Calendars!$O$1:$U$1,0),FALSE)="Holiday"</xm:f>
            <x14:dxf>
              <fill>
                <patternFill>
                  <bgColor rgb="FFFF99FF"/>
                </patternFill>
              </fill>
              <border>
                <bottom/>
              </border>
            </x14:dxf>
          </x14:cfRule>
          <xm:sqref>Y29</xm:sqref>
        </x14:conditionalFormatting>
        <x14:conditionalFormatting xmlns:xm="http://schemas.microsoft.com/office/excel/2006/main">
          <x14:cfRule type="expression" priority="323" id="{142622C6-D044-47FA-8117-E123DC18B142}">
            <xm:f>AND(VLOOKUP(Z30,Calendars!$O$1:$U$398,MATCH($X$1,Calendars!$O$1:$U$1,0),FALSE)="Non Contract",$C$5&gt;0)</xm:f>
            <x14:dxf>
              <fill>
                <patternFill patternType="solid">
                  <fgColor theme="4" tint="0.79998168889431442"/>
                  <bgColor theme="8" tint="0.79995117038483843"/>
                </patternFill>
              </fill>
            </x14:dxf>
          </x14:cfRule>
          <xm:sqref>Z29:AB29</xm:sqref>
        </x14:conditionalFormatting>
        <x14:conditionalFormatting xmlns:xm="http://schemas.microsoft.com/office/excel/2006/main">
          <x14:cfRule type="expression" priority="333" id="{0FA74D48-4DD0-48A4-B8B5-7FD89261A88C}">
            <xm:f>AND(VLOOKUP(Z30,Calendars!$O$1:$U$398,MATCH($X$1,Calendars!$O$1:$U$1,0),FALSE)="",Z29=0)</xm:f>
            <x14:dxf>
              <fill>
                <patternFill>
                  <bgColor theme="7" tint="0.79998168889431442"/>
                </patternFill>
              </fill>
            </x14:dxf>
          </x14:cfRule>
          <xm:sqref>Z29:AB29</xm:sqref>
        </x14:conditionalFormatting>
        <x14:conditionalFormatting xmlns:xm="http://schemas.microsoft.com/office/excel/2006/main">
          <x14:cfRule type="expression" priority="322" id="{06A75D36-A0B5-465E-9587-23375DAB5520}">
            <xm:f>VLOOKUP(Z30,Calendars!$O$1:$U$398,MATCH($X$1,Calendars!$O$1:$U$1,0),FALSE)="Non Contract"</xm:f>
            <x14:dxf>
              <fill>
                <patternFill patternType="lightDown"/>
              </fill>
              <border>
                <bottom/>
              </border>
            </x14:dxf>
          </x14:cfRule>
          <x14:cfRule type="expression" priority="331" id="{328EDEFD-9FD7-4DC3-9DE2-BEA3818D6B02}">
            <xm:f>VLOOKUP(Z30,Calendars!$O$1:$U$398,MATCH($X$1,Calendars!$O$1:$U$1,0),FALSE)="Holiday"</xm:f>
            <x14:dxf>
              <fill>
                <patternFill>
                  <bgColor rgb="FFFF99FF"/>
                </patternFill>
              </fill>
              <border>
                <bottom/>
              </border>
            </x14:dxf>
          </x14:cfRule>
          <xm:sqref>Z29:AB29</xm:sqref>
        </x14:conditionalFormatting>
        <x14:conditionalFormatting xmlns:xm="http://schemas.microsoft.com/office/excel/2006/main">
          <x14:cfRule type="expression" priority="311" id="{1D2A8CAB-5BAE-48D2-99A2-543CE303DEFB}">
            <xm:f>AND(VLOOKUP(X32,Calendars!$O$1:$U$398,MATCH($X$1,Calendars!$O$1:$U$1,0),FALSE)="Non Contract",$C$5&gt;0)</xm:f>
            <x14:dxf>
              <fill>
                <patternFill patternType="solid">
                  <fgColor theme="4" tint="0.79998168889431442"/>
                  <bgColor theme="8" tint="0.79995117038483843"/>
                </patternFill>
              </fill>
            </x14:dxf>
          </x14:cfRule>
          <xm:sqref>X31</xm:sqref>
        </x14:conditionalFormatting>
        <x14:conditionalFormatting xmlns:xm="http://schemas.microsoft.com/office/excel/2006/main">
          <x14:cfRule type="expression" priority="321" id="{07F76302-CD66-42AD-89E7-3BDF192BCF77}">
            <xm:f>AND(VLOOKUP(X32,Calendars!$O$1:$U$398,MATCH($X$1,Calendars!$O$1:$U$1,0),FALSE)="",X31=0)</xm:f>
            <x14:dxf>
              <fill>
                <patternFill>
                  <bgColor theme="7" tint="0.79998168889431442"/>
                </patternFill>
              </fill>
            </x14:dxf>
          </x14:cfRule>
          <xm:sqref>X31</xm:sqref>
        </x14:conditionalFormatting>
        <x14:conditionalFormatting xmlns:xm="http://schemas.microsoft.com/office/excel/2006/main">
          <x14:cfRule type="expression" priority="310" id="{A26BDBB0-111A-43FD-B8DD-917ED8EF312B}">
            <xm:f>VLOOKUP(X32,Calendars!$O$1:$U$398,MATCH($X$1,Calendars!$O$1:$U$1,0),FALSE)="Non Contract"</xm:f>
            <x14:dxf>
              <fill>
                <patternFill patternType="lightDown"/>
              </fill>
              <border>
                <bottom/>
              </border>
            </x14:dxf>
          </x14:cfRule>
          <x14:cfRule type="expression" priority="319" id="{D0BC2C94-F2B8-4C50-97AC-EE65AC6C8542}">
            <xm:f>VLOOKUP(X32,Calendars!$O$1:$U$398,MATCH($X$1,Calendars!$O$1:$U$1,0),FALSE)="Holiday"</xm:f>
            <x14:dxf>
              <fill>
                <patternFill>
                  <bgColor rgb="FFFF99FF"/>
                </patternFill>
              </fill>
              <border>
                <bottom/>
              </border>
            </x14:dxf>
          </x14:cfRule>
          <xm:sqref>X31</xm:sqref>
        </x14:conditionalFormatting>
        <x14:conditionalFormatting xmlns:xm="http://schemas.microsoft.com/office/excel/2006/main">
          <x14:cfRule type="expression" priority="299" id="{7A987236-0D79-470C-BEFC-51E6F6A4B164}">
            <xm:f>AND(VLOOKUP(Y32,Calendars!$O$1:$U$398,MATCH($X$1,Calendars!$O$1:$U$1,0),FALSE)="Non Contract",$C$5&gt;0)</xm:f>
            <x14:dxf>
              <fill>
                <patternFill patternType="solid">
                  <fgColor theme="4" tint="0.79998168889431442"/>
                  <bgColor theme="8" tint="0.79995117038483843"/>
                </patternFill>
              </fill>
            </x14:dxf>
          </x14:cfRule>
          <xm:sqref>Y31</xm:sqref>
        </x14:conditionalFormatting>
        <x14:conditionalFormatting xmlns:xm="http://schemas.microsoft.com/office/excel/2006/main">
          <x14:cfRule type="expression" priority="309" id="{8DE44D26-F77F-4A1F-8B60-188C7BF3FA2A}">
            <xm:f>AND(VLOOKUP(Y32,Calendars!$O$1:$U$398,MATCH($X$1,Calendars!$O$1:$U$1,0),FALSE)="",Y31=0)</xm:f>
            <x14:dxf>
              <fill>
                <patternFill>
                  <bgColor theme="7" tint="0.79998168889431442"/>
                </patternFill>
              </fill>
            </x14:dxf>
          </x14:cfRule>
          <xm:sqref>Y31</xm:sqref>
        </x14:conditionalFormatting>
        <x14:conditionalFormatting xmlns:xm="http://schemas.microsoft.com/office/excel/2006/main">
          <x14:cfRule type="expression" priority="298" id="{40363855-2F92-4873-8C6C-011D10A31C8E}">
            <xm:f>VLOOKUP(Y32,Calendars!$O$1:$U$398,MATCH($X$1,Calendars!$O$1:$U$1,0),FALSE)="Non Contract"</xm:f>
            <x14:dxf>
              <fill>
                <patternFill patternType="lightDown"/>
              </fill>
              <border>
                <bottom/>
              </border>
            </x14:dxf>
          </x14:cfRule>
          <x14:cfRule type="expression" priority="307" id="{48EA9643-C54E-4FC3-8AFA-EDA1ECA9910C}">
            <xm:f>VLOOKUP(Y32,Calendars!$O$1:$U$398,MATCH($X$1,Calendars!$O$1:$U$1,0),FALSE)="Holiday"</xm:f>
            <x14:dxf>
              <fill>
                <patternFill>
                  <bgColor rgb="FFFF99FF"/>
                </patternFill>
              </fill>
              <border>
                <bottom/>
              </border>
            </x14:dxf>
          </x14:cfRule>
          <xm:sqref>Y31</xm:sqref>
        </x14:conditionalFormatting>
        <x14:conditionalFormatting xmlns:xm="http://schemas.microsoft.com/office/excel/2006/main">
          <x14:cfRule type="expression" priority="287" id="{0B524F03-C1F0-4692-95A7-96276DC71717}">
            <xm:f>AND(VLOOKUP(Z32,Calendars!$O$1:$U$398,MATCH($X$1,Calendars!$O$1:$U$1,0),FALSE)="Non Contract",$C$5&gt;0)</xm:f>
            <x14:dxf>
              <fill>
                <patternFill patternType="solid">
                  <fgColor theme="4" tint="0.79998168889431442"/>
                  <bgColor theme="8" tint="0.79995117038483843"/>
                </patternFill>
              </fill>
            </x14:dxf>
          </x14:cfRule>
          <xm:sqref>Z31:AB31</xm:sqref>
        </x14:conditionalFormatting>
        <x14:conditionalFormatting xmlns:xm="http://schemas.microsoft.com/office/excel/2006/main">
          <x14:cfRule type="expression" priority="297" id="{B9345BDB-4461-4743-B174-EA4B2C236FE8}">
            <xm:f>AND(VLOOKUP(Z32,Calendars!$O$1:$U$398,MATCH($X$1,Calendars!$O$1:$U$1,0),FALSE)="",Z31=0)</xm:f>
            <x14:dxf>
              <fill>
                <patternFill>
                  <bgColor theme="7" tint="0.79998168889431442"/>
                </patternFill>
              </fill>
            </x14:dxf>
          </x14:cfRule>
          <xm:sqref>Z31:AB31</xm:sqref>
        </x14:conditionalFormatting>
        <x14:conditionalFormatting xmlns:xm="http://schemas.microsoft.com/office/excel/2006/main">
          <x14:cfRule type="expression" priority="286" id="{459B3DCF-88A0-47EB-89F3-592756FF7007}">
            <xm:f>VLOOKUP(Z32,Calendars!$O$1:$U$398,MATCH($X$1,Calendars!$O$1:$U$1,0),FALSE)="Non Contract"</xm:f>
            <x14:dxf>
              <fill>
                <patternFill patternType="lightDown"/>
              </fill>
              <border>
                <bottom/>
              </border>
            </x14:dxf>
          </x14:cfRule>
          <x14:cfRule type="expression" priority="295" id="{F34CA5AA-AFB7-41FF-8BA2-FB1D10493B4F}">
            <xm:f>VLOOKUP(Z32,Calendars!$O$1:$U$398,MATCH($X$1,Calendars!$O$1:$U$1,0),FALSE)="Holiday"</xm:f>
            <x14:dxf>
              <fill>
                <patternFill>
                  <bgColor rgb="FFFF99FF"/>
                </patternFill>
              </fill>
              <border>
                <bottom/>
              </border>
            </x14:dxf>
          </x14:cfRule>
          <xm:sqref>Z31:AB31</xm:sqref>
        </x14:conditionalFormatting>
        <x14:conditionalFormatting xmlns:xm="http://schemas.microsoft.com/office/excel/2006/main">
          <x14:cfRule type="expression" priority="275" id="{D368A267-30B7-4FD2-B010-260F99D6F6AA}">
            <xm:f>AND(VLOOKUP(X34,Calendars!$O$1:$U$398,MATCH($X$1,Calendars!$O$1:$U$1,0),FALSE)="Non Contract",$C$5&gt;0)</xm:f>
            <x14:dxf>
              <fill>
                <patternFill patternType="solid">
                  <fgColor theme="4" tint="0.79998168889431442"/>
                  <bgColor theme="8" tint="0.79995117038483843"/>
                </patternFill>
              </fill>
            </x14:dxf>
          </x14:cfRule>
          <xm:sqref>X33</xm:sqref>
        </x14:conditionalFormatting>
        <x14:conditionalFormatting xmlns:xm="http://schemas.microsoft.com/office/excel/2006/main">
          <x14:cfRule type="expression" priority="285" id="{0717F3E7-F474-497C-80BA-335B510011C7}">
            <xm:f>AND(VLOOKUP(X34,Calendars!$O$1:$U$398,MATCH($X$1,Calendars!$O$1:$U$1,0),FALSE)="",X33=0)</xm:f>
            <x14:dxf>
              <fill>
                <patternFill>
                  <bgColor theme="7" tint="0.79998168889431442"/>
                </patternFill>
              </fill>
            </x14:dxf>
          </x14:cfRule>
          <xm:sqref>X33</xm:sqref>
        </x14:conditionalFormatting>
        <x14:conditionalFormatting xmlns:xm="http://schemas.microsoft.com/office/excel/2006/main">
          <x14:cfRule type="expression" priority="274" id="{590FEA80-9A8E-4E1C-B858-5FEA6AD3E862}">
            <xm:f>VLOOKUP(X34,Calendars!$O$1:$U$398,MATCH($X$1,Calendars!$O$1:$U$1,0),FALSE)="Non Contract"</xm:f>
            <x14:dxf>
              <fill>
                <patternFill patternType="lightDown"/>
              </fill>
              <border>
                <bottom/>
              </border>
            </x14:dxf>
          </x14:cfRule>
          <x14:cfRule type="expression" priority="283" id="{80D2681D-53C9-4FE8-BD90-77E47A078450}">
            <xm:f>VLOOKUP(X34,Calendars!$O$1:$U$398,MATCH($X$1,Calendars!$O$1:$U$1,0),FALSE)="Holiday"</xm:f>
            <x14:dxf>
              <fill>
                <patternFill>
                  <bgColor rgb="FFFF99FF"/>
                </patternFill>
              </fill>
              <border>
                <bottom/>
              </border>
            </x14:dxf>
          </x14:cfRule>
          <xm:sqref>X33</xm:sqref>
        </x14:conditionalFormatting>
        <x14:conditionalFormatting xmlns:xm="http://schemas.microsoft.com/office/excel/2006/main">
          <x14:cfRule type="expression" priority="263" id="{9C0EF0EF-6702-4E8F-B28B-D0FF7A67FD84}">
            <xm:f>AND(VLOOKUP(Y34,Calendars!$O$1:$U$398,MATCH($X$1,Calendars!$O$1:$U$1,0),FALSE)="Non Contract",$C$5&gt;0)</xm:f>
            <x14:dxf>
              <fill>
                <patternFill patternType="solid">
                  <fgColor theme="4" tint="0.79998168889431442"/>
                  <bgColor theme="8" tint="0.79995117038483843"/>
                </patternFill>
              </fill>
            </x14:dxf>
          </x14:cfRule>
          <xm:sqref>Y33</xm:sqref>
        </x14:conditionalFormatting>
        <x14:conditionalFormatting xmlns:xm="http://schemas.microsoft.com/office/excel/2006/main">
          <x14:cfRule type="expression" priority="273" id="{7B3A8572-F85C-4543-855A-85C1DF09D969}">
            <xm:f>AND(VLOOKUP(Y34,Calendars!$O$1:$U$398,MATCH($X$1,Calendars!$O$1:$U$1,0),FALSE)="",Y33=0)</xm:f>
            <x14:dxf>
              <fill>
                <patternFill>
                  <bgColor theme="7" tint="0.79998168889431442"/>
                </patternFill>
              </fill>
            </x14:dxf>
          </x14:cfRule>
          <xm:sqref>Y33</xm:sqref>
        </x14:conditionalFormatting>
        <x14:conditionalFormatting xmlns:xm="http://schemas.microsoft.com/office/excel/2006/main">
          <x14:cfRule type="expression" priority="262" id="{FB1296CE-F3E2-4AF5-88AB-9E34AF19FCDB}">
            <xm:f>VLOOKUP(Y34,Calendars!$O$1:$U$398,MATCH($X$1,Calendars!$O$1:$U$1,0),FALSE)="Non Contract"</xm:f>
            <x14:dxf>
              <fill>
                <patternFill patternType="lightDown"/>
              </fill>
              <border>
                <bottom/>
              </border>
            </x14:dxf>
          </x14:cfRule>
          <x14:cfRule type="expression" priority="271" id="{38A72682-A32B-4B56-8223-C25B44F289F7}">
            <xm:f>VLOOKUP(Y34,Calendars!$O$1:$U$398,MATCH($X$1,Calendars!$O$1:$U$1,0),FALSE)="Holiday"</xm:f>
            <x14:dxf>
              <fill>
                <patternFill>
                  <bgColor rgb="FFFF99FF"/>
                </patternFill>
              </fill>
              <border>
                <bottom/>
              </border>
            </x14:dxf>
          </x14:cfRule>
          <xm:sqref>Y33</xm:sqref>
        </x14:conditionalFormatting>
        <x14:conditionalFormatting xmlns:xm="http://schemas.microsoft.com/office/excel/2006/main">
          <x14:cfRule type="expression" priority="251" id="{C92A037E-D972-4505-986B-ABEBFF36DA55}">
            <xm:f>AND(VLOOKUP(Z34,Calendars!$O$1:$U$398,MATCH($X$1,Calendars!$O$1:$U$1,0),FALSE)="Non Contract",$C$5&gt;0)</xm:f>
            <x14:dxf>
              <fill>
                <patternFill patternType="solid">
                  <fgColor theme="4" tint="0.79998168889431442"/>
                  <bgColor theme="8" tint="0.79995117038483843"/>
                </patternFill>
              </fill>
            </x14:dxf>
          </x14:cfRule>
          <xm:sqref>Z33:AB33</xm:sqref>
        </x14:conditionalFormatting>
        <x14:conditionalFormatting xmlns:xm="http://schemas.microsoft.com/office/excel/2006/main">
          <x14:cfRule type="expression" priority="261" id="{801DED99-F52E-4890-9B6B-D61AF608A089}">
            <xm:f>AND(VLOOKUP(Z34,Calendars!$O$1:$U$398,MATCH($X$1,Calendars!$O$1:$U$1,0),FALSE)="",Z33=0)</xm:f>
            <x14:dxf>
              <fill>
                <patternFill>
                  <bgColor theme="7" tint="0.79998168889431442"/>
                </patternFill>
              </fill>
            </x14:dxf>
          </x14:cfRule>
          <xm:sqref>Z33:AB33</xm:sqref>
        </x14:conditionalFormatting>
        <x14:conditionalFormatting xmlns:xm="http://schemas.microsoft.com/office/excel/2006/main">
          <x14:cfRule type="expression" priority="250" id="{8B43ED7E-7A92-4D51-83BF-CC2E16D8FFAA}">
            <xm:f>VLOOKUP(Z34,Calendars!$O$1:$U$398,MATCH($X$1,Calendars!$O$1:$U$1,0),FALSE)="Non Contract"</xm:f>
            <x14:dxf>
              <fill>
                <patternFill patternType="lightDown"/>
              </fill>
              <border>
                <bottom/>
              </border>
            </x14:dxf>
          </x14:cfRule>
          <x14:cfRule type="expression" priority="259" id="{FEEF96E7-5CB9-4E2E-A1AF-A1FDB4957A91}">
            <xm:f>VLOOKUP(Z34,Calendars!$O$1:$U$398,MATCH($X$1,Calendars!$O$1:$U$1,0),FALSE)="Holiday"</xm:f>
            <x14:dxf>
              <fill>
                <patternFill>
                  <bgColor rgb="FFFF99FF"/>
                </patternFill>
              </fill>
              <border>
                <bottom/>
              </border>
            </x14:dxf>
          </x14:cfRule>
          <xm:sqref>Z33:AB33</xm:sqref>
        </x14:conditionalFormatting>
        <x14:conditionalFormatting xmlns:xm="http://schemas.microsoft.com/office/excel/2006/main">
          <x14:cfRule type="expression" priority="239" id="{BE6FF8B1-5F86-43C2-B42C-A63F13A507C7}">
            <xm:f>AND(VLOOKUP(X36,Calendars!$O$1:$U$398,MATCH($X$1,Calendars!$O$1:$U$1,0),FALSE)="Non Contract",$C$5&gt;0)</xm:f>
            <x14:dxf>
              <fill>
                <patternFill patternType="solid">
                  <fgColor theme="4" tint="0.79998168889431442"/>
                  <bgColor theme="8" tint="0.79995117038483843"/>
                </patternFill>
              </fill>
            </x14:dxf>
          </x14:cfRule>
          <xm:sqref>X35</xm:sqref>
        </x14:conditionalFormatting>
        <x14:conditionalFormatting xmlns:xm="http://schemas.microsoft.com/office/excel/2006/main">
          <x14:cfRule type="expression" priority="249" id="{971D8F41-69D8-40AF-90F5-177DAD287704}">
            <xm:f>AND(VLOOKUP(X36,Calendars!$O$1:$U$398,MATCH($X$1,Calendars!$O$1:$U$1,0),FALSE)="",X35=0)</xm:f>
            <x14:dxf>
              <fill>
                <patternFill>
                  <bgColor theme="7" tint="0.79998168889431442"/>
                </patternFill>
              </fill>
            </x14:dxf>
          </x14:cfRule>
          <xm:sqref>X35</xm:sqref>
        </x14:conditionalFormatting>
        <x14:conditionalFormatting xmlns:xm="http://schemas.microsoft.com/office/excel/2006/main">
          <x14:cfRule type="expression" priority="238" id="{ABE3E7EF-43B2-46AA-ACA2-C840654DABD5}">
            <xm:f>VLOOKUP(X36,Calendars!$O$1:$U$398,MATCH($X$1,Calendars!$O$1:$U$1,0),FALSE)="Non Contract"</xm:f>
            <x14:dxf>
              <fill>
                <patternFill patternType="lightDown"/>
              </fill>
              <border>
                <bottom/>
              </border>
            </x14:dxf>
          </x14:cfRule>
          <x14:cfRule type="expression" priority="247" id="{B5A89A84-5664-4CCD-B9C2-B0A16518C87D}">
            <xm:f>VLOOKUP(X36,Calendars!$O$1:$U$398,MATCH($X$1,Calendars!$O$1:$U$1,0),FALSE)="Holiday"</xm:f>
            <x14:dxf>
              <fill>
                <patternFill>
                  <bgColor rgb="FFFF99FF"/>
                </patternFill>
              </fill>
              <border>
                <bottom/>
              </border>
            </x14:dxf>
          </x14:cfRule>
          <xm:sqref>X35</xm:sqref>
        </x14:conditionalFormatting>
        <x14:conditionalFormatting xmlns:xm="http://schemas.microsoft.com/office/excel/2006/main">
          <x14:cfRule type="expression" priority="227" id="{920D7A35-D93B-4588-A7F2-8311B09995A2}">
            <xm:f>AND(VLOOKUP(Y36,Calendars!$O$1:$U$398,MATCH($X$1,Calendars!$O$1:$U$1,0),FALSE)="Non Contract",$C$5&gt;0)</xm:f>
            <x14:dxf>
              <fill>
                <patternFill patternType="solid">
                  <fgColor theme="4" tint="0.79998168889431442"/>
                  <bgColor theme="8" tint="0.79995117038483843"/>
                </patternFill>
              </fill>
            </x14:dxf>
          </x14:cfRule>
          <xm:sqref>Y35</xm:sqref>
        </x14:conditionalFormatting>
        <x14:conditionalFormatting xmlns:xm="http://schemas.microsoft.com/office/excel/2006/main">
          <x14:cfRule type="expression" priority="237" id="{2B14BEDB-74CE-405F-ABC3-40BA7EA144D1}">
            <xm:f>AND(VLOOKUP(Y36,Calendars!$O$1:$U$398,MATCH($X$1,Calendars!$O$1:$U$1,0),FALSE)="",Y35=0)</xm:f>
            <x14:dxf>
              <fill>
                <patternFill>
                  <bgColor theme="7" tint="0.79998168889431442"/>
                </patternFill>
              </fill>
            </x14:dxf>
          </x14:cfRule>
          <xm:sqref>Y35</xm:sqref>
        </x14:conditionalFormatting>
        <x14:conditionalFormatting xmlns:xm="http://schemas.microsoft.com/office/excel/2006/main">
          <x14:cfRule type="expression" priority="226" id="{B8AA5004-8990-41B2-AE66-05897D41F26C}">
            <xm:f>VLOOKUP(Y36,Calendars!$O$1:$U$398,MATCH($X$1,Calendars!$O$1:$U$1,0),FALSE)="Non Contract"</xm:f>
            <x14:dxf>
              <fill>
                <patternFill patternType="lightDown"/>
              </fill>
              <border>
                <bottom/>
              </border>
            </x14:dxf>
          </x14:cfRule>
          <x14:cfRule type="expression" priority="235" id="{3AA4BB46-E560-4E41-A68F-DFC5FDC5AEB8}">
            <xm:f>VLOOKUP(Y36,Calendars!$O$1:$U$398,MATCH($X$1,Calendars!$O$1:$U$1,0),FALSE)="Holiday"</xm:f>
            <x14:dxf>
              <fill>
                <patternFill>
                  <bgColor rgb="FFFF99FF"/>
                </patternFill>
              </fill>
              <border>
                <bottom/>
              </border>
            </x14:dxf>
          </x14:cfRule>
          <xm:sqref>Y35</xm:sqref>
        </x14:conditionalFormatting>
        <x14:conditionalFormatting xmlns:xm="http://schemas.microsoft.com/office/excel/2006/main">
          <x14:cfRule type="expression" priority="215" id="{769C7FCD-12AD-4124-8434-73412B99B25B}">
            <xm:f>AND(VLOOKUP(Z36,Calendars!$O$1:$U$398,MATCH($X$1,Calendars!$O$1:$U$1,0),FALSE)="Non Contract",$C$5&gt;0)</xm:f>
            <x14:dxf>
              <fill>
                <patternFill patternType="solid">
                  <fgColor theme="4" tint="0.79998168889431442"/>
                  <bgColor theme="8" tint="0.79995117038483843"/>
                </patternFill>
              </fill>
            </x14:dxf>
          </x14:cfRule>
          <xm:sqref>Z35:AB35</xm:sqref>
        </x14:conditionalFormatting>
        <x14:conditionalFormatting xmlns:xm="http://schemas.microsoft.com/office/excel/2006/main">
          <x14:cfRule type="expression" priority="225" id="{7184B840-E7BE-4220-B2D8-FF452B2A36DF}">
            <xm:f>AND(VLOOKUP(Z36,Calendars!$O$1:$U$398,MATCH($X$1,Calendars!$O$1:$U$1,0),FALSE)="",Z35=0)</xm:f>
            <x14:dxf>
              <fill>
                <patternFill>
                  <bgColor theme="7" tint="0.79998168889431442"/>
                </patternFill>
              </fill>
            </x14:dxf>
          </x14:cfRule>
          <xm:sqref>Z35:AB35</xm:sqref>
        </x14:conditionalFormatting>
        <x14:conditionalFormatting xmlns:xm="http://schemas.microsoft.com/office/excel/2006/main">
          <x14:cfRule type="expression" priority="214" id="{9C0D9921-22DC-482A-8D9E-9485CE2E06A8}">
            <xm:f>VLOOKUP(Z36,Calendars!$O$1:$U$398,MATCH($X$1,Calendars!$O$1:$U$1,0),FALSE)="Non Contract"</xm:f>
            <x14:dxf>
              <fill>
                <patternFill patternType="lightDown"/>
              </fill>
              <border>
                <bottom/>
              </border>
            </x14:dxf>
          </x14:cfRule>
          <x14:cfRule type="expression" priority="223" id="{2F596322-31E5-4670-A8D4-8D75101111C3}">
            <xm:f>VLOOKUP(Z36,Calendars!$O$1:$U$398,MATCH($X$1,Calendars!$O$1:$U$1,0),FALSE)="Holiday"</xm:f>
            <x14:dxf>
              <fill>
                <patternFill>
                  <bgColor rgb="FFFF99FF"/>
                </patternFill>
              </fill>
              <border>
                <bottom/>
              </border>
            </x14:dxf>
          </x14:cfRule>
          <xm:sqref>Z35:AB35</xm:sqref>
        </x14:conditionalFormatting>
        <x14:conditionalFormatting xmlns:xm="http://schemas.microsoft.com/office/excel/2006/main">
          <x14:cfRule type="expression" priority="197" id="{B9C1FFE9-20F6-498E-A65F-B70EA2C622B2}">
            <xm:f>VLOOKUP(R12,Calendars!$V$1:$AC$398,MATCH($X$1,Calendars!$V$1:$AC$1,0),FALSE)="FLEX"</xm:f>
            <x14:dxf>
              <fill>
                <patternFill>
                  <bgColor theme="4"/>
                </patternFill>
              </fill>
            </x14:dxf>
          </x14:cfRule>
          <xm:sqref>R12:U12</xm:sqref>
        </x14:conditionalFormatting>
        <x14:conditionalFormatting xmlns:xm="http://schemas.microsoft.com/office/excel/2006/main">
          <x14:cfRule type="expression" priority="196" id="{4D753D65-490A-499E-B985-36D9C3CCEBD8}">
            <xm:f>VLOOKUP(Q19,Calendars!$V$1:$AB$398,MATCH($X$1,Calendars!$V$1:$AB$1,0),FALSE)="HW"</xm:f>
            <x14:dxf>
              <fill>
                <patternFill>
                  <bgColor rgb="FF00B050"/>
                </patternFill>
              </fill>
            </x14:dxf>
          </x14:cfRule>
          <xm:sqref>Q19:U19</xm:sqref>
        </x14:conditionalFormatting>
        <x14:conditionalFormatting xmlns:xm="http://schemas.microsoft.com/office/excel/2006/main">
          <x14:cfRule type="expression" priority="195" id="{3EBBA5DD-7ADF-4944-8981-AB4B0B6B8E8E}">
            <xm:f>VLOOKUP(J23,Calendars!$V$1:$AB$398,MATCH($X$1,Calendars!$V$1:$AB$1,0),FALSE)="Flex"</xm:f>
            <x14:dxf>
              <fill>
                <patternFill>
                  <bgColor rgb="FF0070C0"/>
                </patternFill>
              </fill>
            </x14:dxf>
          </x14:cfRule>
          <xm:sqref>J23:L23</xm:sqref>
        </x14:conditionalFormatting>
        <x14:conditionalFormatting xmlns:xm="http://schemas.microsoft.com/office/excel/2006/main">
          <x14:cfRule type="expression" priority="31379" id="{8EC7DAC8-4E20-496E-8B18-EEDFCA1C187F}">
            <xm:f>AND(VLOOKUP(X39,Calendars!$P$1:$Y$398,MATCH($X$1,Calendars!$P$1:$Y$1,0),FALSE)="",X38=0)</xm:f>
            <x14:dxf>
              <fill>
                <patternFill>
                  <bgColor theme="7" tint="0.79998168889431442"/>
                </patternFill>
              </fill>
            </x14:dxf>
          </x14:cfRule>
          <xm:sqref>X38:AB38 X40:AB40</xm:sqref>
        </x14:conditionalFormatting>
        <x14:conditionalFormatting xmlns:xm="http://schemas.microsoft.com/office/excel/2006/main">
          <x14:cfRule type="expression" priority="31381" id="{BC177ED0-C860-4F1F-A3C3-66497178461C}">
            <xm:f>VLOOKUP(X39,Calendars!$P$1:$Y$398,MATCH($X$1,Calendars!$P$1:$Y$1,0),FALSE)="Non Contract"</xm:f>
            <x14:dxf>
              <fill>
                <patternFill patternType="lightDown"/>
              </fill>
              <border>
                <bottom/>
              </border>
            </x14:dxf>
          </x14:cfRule>
          <x14:cfRule type="expression" priority="31382" id="{21EA5B9D-5F94-477A-93DA-D5BDBC0C4532}">
            <xm:f>VLOOKUP(X39,Calendars!$P$1:$Y$398,MATCH($X$1,Calendars!$P$1:$Y$1,0),FALSE)="Holiday"</xm:f>
            <x14:dxf>
              <fill>
                <patternFill>
                  <bgColor rgb="FFFF99FF"/>
                </patternFill>
              </fill>
              <border>
                <bottom/>
              </border>
            </x14:dxf>
          </x14:cfRule>
          <xm:sqref>X38:AB38 X40:AB40</xm:sqref>
        </x14:conditionalFormatting>
        <x14:conditionalFormatting xmlns:xm="http://schemas.microsoft.com/office/excel/2006/main">
          <x14:cfRule type="expression" priority="31385" id="{636EB300-1796-4623-9D6F-783756A8350E}">
            <xm:f>VLOOKUP(X39,Calendars!$AA$1:$AK$398,MATCH($X$1,Calendars!$AA$1:$AK$1,0),FALSE)="MPTC"</xm:f>
            <x14:dxf>
              <fill>
                <patternFill>
                  <bgColor theme="5" tint="0.39994506668294322"/>
                </patternFill>
              </fill>
            </x14:dxf>
          </x14:cfRule>
          <x14:cfRule type="expression" priority="31386" id="{5F77EA4B-6C8F-4275-9A00-446ECAA1C69C}">
            <xm:f>VLOOKUP(X39,Calendars!$AA$1:$AK$398,MATCH($X$1,Calendars!$AA$1:$AK$1,0),FALSE)="PTC"</xm:f>
            <x14:dxf>
              <fill>
                <patternFill>
                  <bgColor theme="5" tint="-0.24994659260841701"/>
                </patternFill>
              </fill>
            </x14:dxf>
          </x14:cfRule>
          <x14:cfRule type="expression" priority="31387" id="{94D94DEB-2E3A-461F-AB77-7082E1FDFF15}">
            <xm:f>VLOOKUP(X39,Calendars!$AA$1:$AK$398,MATCH($X$1,Calendars!$AA$1:$AK$1,0),FALSE)="PD"</xm:f>
            <x14:dxf>
              <fill>
                <patternFill>
                  <bgColor rgb="FF0070C0"/>
                </patternFill>
              </fill>
            </x14:dxf>
          </x14:cfRule>
          <x14:cfRule type="expression" priority="31388" id="{9E49D247-A4A5-4965-9789-6DA4D2919E1E}">
            <xm:f>VLOOKUP(X39,Calendars!$P$1:$Y$398,MATCH($X$1,Calendars!$P$1:$Y$1,0),FALSE)="Non Contract"</xm:f>
            <x14:dxf>
              <fill>
                <patternFill patternType="lightDown"/>
              </fill>
            </x14:dxf>
          </x14:cfRule>
          <x14:cfRule type="expression" priority="31389" id="{99747011-50DC-4565-B576-14CBE386E30D}">
            <xm:f>VLOOKUP(X39,Calendars!$P$1:$Y$398,MATCH($X$1,Calendars!$P$1:$Y$1,0),FALSE)="Holiday"</xm:f>
            <x14:dxf>
              <fill>
                <patternFill>
                  <bgColor rgb="FFFF99FF"/>
                </patternFill>
              </fill>
            </x14:dxf>
          </x14:cfRule>
          <xm:sqref>X39:AB39 X41:AB41</xm:sqref>
        </x14:conditionalFormatting>
        <x14:conditionalFormatting xmlns:xm="http://schemas.microsoft.com/office/excel/2006/main">
          <x14:cfRule type="expression" priority="31395" id="{1AC9D257-F1CF-4618-9C00-F9D2A9DBDCF3}">
            <xm:f>VLOOKUP(C6,Calendars!$V$1:$AB$398,MATCH($X$1,Calendars!$V$1:$AB$1,0),FALSE)="MPTC"</xm:f>
            <x14:dxf>
              <fill>
                <patternFill>
                  <bgColor theme="5" tint="0.39994506668294322"/>
                </patternFill>
              </fill>
            </x14:dxf>
          </x14:cfRule>
          <x14:cfRule type="expression" priority="31396" id="{BEBA15DF-64E2-4F62-B17A-B805DBA86ED1}">
            <xm:f>VLOOKUP(C6,Calendars!$V$1:$AB$398,MATCH($X$1,Calendars!$V$1:$AB$1,0),FALSE)="PTC"</xm:f>
            <x14:dxf>
              <fill>
                <patternFill>
                  <bgColor theme="5" tint="-0.24994659260841701"/>
                </patternFill>
              </fill>
            </x14:dxf>
          </x14:cfRule>
          <x14:cfRule type="expression" priority="31397" id="{EA92FE82-64A4-4BFF-BF16-F7B148D3760D}">
            <xm:f>VLOOKUP(C6,Calendars!$V$1:$AB$398,MATCH($X$1,Calendars!$V$1:$AB$1,0),FALSE)="PD"</xm:f>
            <x14:dxf>
              <fill>
                <patternFill>
                  <bgColor rgb="FF0070C0"/>
                </patternFill>
              </fill>
            </x14:dxf>
          </x14:cfRule>
          <x14:cfRule type="expression" priority="31398" id="{0305DD19-0F1C-4D48-A7FE-A54ABEC00446}">
            <xm:f>VLOOKUP(C6,Calendars!$O$1:$U$398,MATCH($X$1,Calendars!$O$1:$U$1,0),FALSE)="Non Contract"</xm:f>
            <x14:dxf>
              <fill>
                <patternFill patternType="lightDown"/>
              </fill>
            </x14:dxf>
          </x14:cfRule>
          <x14:cfRule type="expression" priority="31399" id="{3866D774-167F-41AB-A74E-5851D429BC8C}">
            <xm:f>VLOOKUP(C6,Calendars!$O$1:$U$398,MATCH($X$1,Calendars!$O$1:$U$1,0),FALSE)="Holiday"</xm:f>
            <x14:dxf>
              <fill>
                <patternFill>
                  <bgColor rgb="FFFF99FF"/>
                </patternFill>
              </fill>
            </x14:dxf>
          </x14:cfRule>
          <xm:sqref>C6:G6 C8:G8 C10:G10 C12:G12 C14:G14 J6:N6 J8:N8 J10:N10 J12:N12 J14:N14 Q6:U6 Q8:U8 Q10:U10 Q14:U14 X6:AB6 X8:AB8 X10:AB10 X12:AB12 X14:AB14 C17:G17 C19:G19 C21:G21 C23:G23 C25:G25 J17:N17 J19:N19 J21:N21 J23:N23 J25:N25 Q17:U17 Q19:U19 Q21:U21 Q23:U23 Q25:U25 X17:AB17 X19:AB19 X21:AB21 X23:AB23 X25:AB25 C28:G28 C30:G30 C32:G32 C34:G34 C36:G36 J28:N28 J30:N30 J32:N32 J34:N34 J36:N36 X28:AB28 X30:AB30 X32:AB32 X34:AB34 X36:AB36 R12:U12</xm:sqref>
        </x14:conditionalFormatting>
        <x14:conditionalFormatting xmlns:xm="http://schemas.microsoft.com/office/excel/2006/main">
          <x14:cfRule type="expression" priority="31695" id="{C59A0E8B-86CC-4B9E-AB51-15A506ACCD44}">
            <xm:f>VLOOKUP(Q12,Calendars!$V$1:$AB$398,MATCH($X$1,Calendars!$V$1:$AB$1,0),FALSE)="FLEX"</xm:f>
            <x14:dxf>
              <fill>
                <patternFill>
                  <bgColor theme="4"/>
                </patternFill>
              </fill>
            </x14:dxf>
          </x14:cfRule>
          <x14:cfRule type="expression" priority="31696" id="{CE793931-C47A-4029-A0D8-9DBAF805ADB5}">
            <xm:f>VLOOKUP(Q12,Calendars!$V$1:$AB$398,MATCH($X$1,Calendars!$V$1:$AB$1,0),FALSE)="MPTC"</xm:f>
            <x14:dxf>
              <fill>
                <patternFill>
                  <bgColor theme="5" tint="0.39994506668294322"/>
                </patternFill>
              </fill>
            </x14:dxf>
          </x14:cfRule>
          <x14:cfRule type="expression" priority="31697" id="{EBB595C4-A034-4185-A383-4142CBCC6411}">
            <xm:f>VLOOKUP(Q12,Calendars!$V$1:$AB$398,MATCH($X$1,Calendars!$V$1:$AB$1,0),FALSE)="PTC"</xm:f>
            <x14:dxf>
              <fill>
                <patternFill>
                  <bgColor theme="5" tint="-0.24994659260841701"/>
                </patternFill>
              </fill>
            </x14:dxf>
          </x14:cfRule>
          <x14:cfRule type="expression" priority="31698" id="{054731D9-A2DB-4C73-8899-C5731EA4C51D}">
            <xm:f>VLOOKUP(Q12,Calendars!$V$1:$AB$398,MATCH($X$1,Calendars!$V$1:$AB$1,0),FALSE)="PD"</xm:f>
            <x14:dxf>
              <fill>
                <patternFill>
                  <bgColor rgb="FF0070C0"/>
                </patternFill>
              </fill>
            </x14:dxf>
          </x14:cfRule>
          <x14:cfRule type="expression" priority="31699" id="{B6DADC89-06ED-4F12-B3B4-5056D0CF0DA8}">
            <xm:f>VLOOKUP(Q12,Calendars!$O$1:$U$398,MATCH($X$1,Calendars!$O$1:$U$1,0),FALSE)="Non Contract"</xm:f>
            <x14:dxf>
              <fill>
                <patternFill patternType="lightDown"/>
              </fill>
            </x14:dxf>
          </x14:cfRule>
          <x14:cfRule type="expression" priority="31700" id="{28E31FC6-DE9C-4C50-A711-5DA3E815893B}">
            <xm:f>VLOOKUP(Q12,Calendars!$O$1:$U$398,MATCH($X$1,Calendars!$O$1:$U$1,0),FALSE)="Holiday"</xm:f>
            <x14:dxf>
              <fill>
                <patternFill>
                  <bgColor rgb="FFFF99FF"/>
                </patternFill>
              </fill>
            </x14:dxf>
          </x14:cfRule>
          <xm:sqref>Q12</xm:sqref>
        </x14:conditionalFormatting>
        <x14:conditionalFormatting xmlns:xm="http://schemas.microsoft.com/office/excel/2006/main">
          <x14:cfRule type="expression" priority="100" id="{3DAA0B2F-D107-424D-8CE0-3924D3679851}">
            <xm:f>AND(VLOOKUP(Q28,Calendars!$O$1:$U$398,MATCH($X$1,Calendars!$O$1:$U$1,0),FALSE)="Non Contract",$C$5&gt;0)</xm:f>
            <x14:dxf>
              <fill>
                <patternFill patternType="solid">
                  <fgColor theme="4" tint="0.79998168889431442"/>
                  <bgColor theme="8" tint="0.79995117038483843"/>
                </patternFill>
              </fill>
            </x14:dxf>
          </x14:cfRule>
          <xm:sqref>Q27</xm:sqref>
        </x14:conditionalFormatting>
        <x14:conditionalFormatting xmlns:xm="http://schemas.microsoft.com/office/excel/2006/main">
          <x14:cfRule type="expression" priority="105" id="{3B4BC94C-8FEC-4760-B5B5-4ACDBD5C69EA}">
            <xm:f>AND(VLOOKUP(Q28,Calendars!$O$1:$U$398,MATCH($X$1,Calendars!$O$1:$U$1,0),FALSE)="",Q27=0)</xm:f>
            <x14:dxf>
              <fill>
                <patternFill>
                  <bgColor theme="7" tint="0.79998168889431442"/>
                </patternFill>
              </fill>
            </x14:dxf>
          </x14:cfRule>
          <xm:sqref>Q27</xm:sqref>
        </x14:conditionalFormatting>
        <x14:conditionalFormatting xmlns:xm="http://schemas.microsoft.com/office/excel/2006/main">
          <x14:cfRule type="expression" priority="99" id="{CC0AF036-754A-496F-861D-B964E6F812D3}">
            <xm:f>VLOOKUP(Q28,Calendars!$O$1:$U$398,MATCH($X$1,Calendars!$O$1:$U$1,0),FALSE)="Non Contract"</xm:f>
            <x14:dxf>
              <fill>
                <patternFill patternType="lightDown"/>
              </fill>
              <border>
                <bottom/>
              </border>
            </x14:dxf>
          </x14:cfRule>
          <x14:cfRule type="expression" priority="103" id="{6B318683-5FD0-42D0-BF7A-A2CC53BAC48A}">
            <xm:f>VLOOKUP(Q28,Calendars!$O$1:$U$398,MATCH($X$1,Calendars!$O$1:$U$1,0),FALSE)="Holiday"</xm:f>
            <x14:dxf>
              <fill>
                <patternFill>
                  <bgColor rgb="FFFF99FF"/>
                </patternFill>
              </fill>
              <border>
                <bottom/>
              </border>
            </x14:dxf>
          </x14:cfRule>
          <xm:sqref>Q27</xm:sqref>
        </x14:conditionalFormatting>
        <x14:conditionalFormatting xmlns:xm="http://schemas.microsoft.com/office/excel/2006/main">
          <x14:cfRule type="expression" priority="93" id="{B84557BE-CF61-44FC-AEB2-87183AAC58F6}">
            <xm:f>AND(VLOOKUP(R28,Calendars!$O$1:$U$398,MATCH($X$1,Calendars!$O$1:$U$1,0),FALSE)="Non Contract",$C$5&gt;0)</xm:f>
            <x14:dxf>
              <fill>
                <patternFill patternType="solid">
                  <fgColor theme="4" tint="0.79998168889431442"/>
                  <bgColor theme="8" tint="0.79995117038483843"/>
                </patternFill>
              </fill>
            </x14:dxf>
          </x14:cfRule>
          <xm:sqref>R27</xm:sqref>
        </x14:conditionalFormatting>
        <x14:conditionalFormatting xmlns:xm="http://schemas.microsoft.com/office/excel/2006/main">
          <x14:cfRule type="expression" priority="98" id="{9314F49E-2C59-4DFF-A7D6-18E335BD295D}">
            <xm:f>AND(VLOOKUP(R28,Calendars!$O$1:$U$398,MATCH($X$1,Calendars!$O$1:$U$1,0),FALSE)="",R27=0)</xm:f>
            <x14:dxf>
              <fill>
                <patternFill>
                  <bgColor theme="7" tint="0.79998168889431442"/>
                </patternFill>
              </fill>
            </x14:dxf>
          </x14:cfRule>
          <xm:sqref>R27</xm:sqref>
        </x14:conditionalFormatting>
        <x14:conditionalFormatting xmlns:xm="http://schemas.microsoft.com/office/excel/2006/main">
          <x14:cfRule type="expression" priority="92" id="{7EC48FD8-19EC-47B4-A01B-314BA29002BC}">
            <xm:f>VLOOKUP(R28,Calendars!$O$1:$U$398,MATCH($X$1,Calendars!$O$1:$U$1,0),FALSE)="Non Contract"</xm:f>
            <x14:dxf>
              <fill>
                <patternFill patternType="lightDown"/>
              </fill>
              <border>
                <bottom/>
              </border>
            </x14:dxf>
          </x14:cfRule>
          <x14:cfRule type="expression" priority="96" id="{44E4F0EE-E27E-46E3-931F-1CBE37346612}">
            <xm:f>VLOOKUP(R28,Calendars!$O$1:$U$398,MATCH($X$1,Calendars!$O$1:$U$1,0),FALSE)="Holiday"</xm:f>
            <x14:dxf>
              <fill>
                <patternFill>
                  <bgColor rgb="FFFF99FF"/>
                </patternFill>
              </fill>
              <border>
                <bottom/>
              </border>
            </x14:dxf>
          </x14:cfRule>
          <xm:sqref>R27</xm:sqref>
        </x14:conditionalFormatting>
        <x14:conditionalFormatting xmlns:xm="http://schemas.microsoft.com/office/excel/2006/main">
          <x14:cfRule type="expression" priority="86" id="{27D0B472-E6D8-42D4-8A8B-3257C6A372BE}">
            <xm:f>AND(VLOOKUP(S28,Calendars!$O$1:$U$398,MATCH($X$1,Calendars!$O$1:$U$1,0),FALSE)="Non Contract",$C$5&gt;0)</xm:f>
            <x14:dxf>
              <fill>
                <patternFill patternType="solid">
                  <fgColor theme="4" tint="0.79998168889431442"/>
                  <bgColor theme="8" tint="0.79995117038483843"/>
                </patternFill>
              </fill>
            </x14:dxf>
          </x14:cfRule>
          <xm:sqref>S27:U27</xm:sqref>
        </x14:conditionalFormatting>
        <x14:conditionalFormatting xmlns:xm="http://schemas.microsoft.com/office/excel/2006/main">
          <x14:cfRule type="expression" priority="91" id="{B20C2587-72B6-4ECD-AB27-063CAF78EF07}">
            <xm:f>AND(VLOOKUP(S28,Calendars!$O$1:$U$398,MATCH($X$1,Calendars!$O$1:$U$1,0),FALSE)="",S27=0)</xm:f>
            <x14:dxf>
              <fill>
                <patternFill>
                  <bgColor theme="7" tint="0.79998168889431442"/>
                </patternFill>
              </fill>
            </x14:dxf>
          </x14:cfRule>
          <xm:sqref>S27:U27</xm:sqref>
        </x14:conditionalFormatting>
        <x14:conditionalFormatting xmlns:xm="http://schemas.microsoft.com/office/excel/2006/main">
          <x14:cfRule type="expression" priority="85" id="{AE489CD3-CE31-4A21-B624-BC2D7116B649}">
            <xm:f>VLOOKUP(S28,Calendars!$O$1:$U$398,MATCH($X$1,Calendars!$O$1:$U$1,0),FALSE)="Non Contract"</xm:f>
            <x14:dxf>
              <fill>
                <patternFill patternType="lightDown"/>
              </fill>
              <border>
                <bottom/>
              </border>
            </x14:dxf>
          </x14:cfRule>
          <x14:cfRule type="expression" priority="89" id="{20B886AD-76C8-4A3A-BC09-D6ACAC1295CA}">
            <xm:f>VLOOKUP(S28,Calendars!$O$1:$U$398,MATCH($X$1,Calendars!$O$1:$U$1,0),FALSE)="Holiday"</xm:f>
            <x14:dxf>
              <fill>
                <patternFill>
                  <bgColor rgb="FFFF99FF"/>
                </patternFill>
              </fill>
              <border>
                <bottom/>
              </border>
            </x14:dxf>
          </x14:cfRule>
          <xm:sqref>S27:U27</xm:sqref>
        </x14:conditionalFormatting>
        <x14:conditionalFormatting xmlns:xm="http://schemas.microsoft.com/office/excel/2006/main">
          <x14:cfRule type="expression" priority="79" id="{5D105F19-1928-4ED1-B81F-9F1B4EDB68C3}">
            <xm:f>AND(VLOOKUP(Q30,Calendars!$O$1:$U$398,MATCH($X$1,Calendars!$O$1:$U$1,0),FALSE)="Non Contract",$C$5&gt;0)</xm:f>
            <x14:dxf>
              <fill>
                <patternFill patternType="solid">
                  <fgColor theme="4" tint="0.79998168889431442"/>
                  <bgColor theme="8" tint="0.79995117038483843"/>
                </patternFill>
              </fill>
            </x14:dxf>
          </x14:cfRule>
          <xm:sqref>Q29</xm:sqref>
        </x14:conditionalFormatting>
        <x14:conditionalFormatting xmlns:xm="http://schemas.microsoft.com/office/excel/2006/main">
          <x14:cfRule type="expression" priority="84" id="{8218E58A-3730-4D64-B67D-2EE547766E4C}">
            <xm:f>AND(VLOOKUP(Q30,Calendars!$O$1:$U$398,MATCH($X$1,Calendars!$O$1:$U$1,0),FALSE)="",Q29=0)</xm:f>
            <x14:dxf>
              <fill>
                <patternFill>
                  <bgColor theme="7" tint="0.79998168889431442"/>
                </patternFill>
              </fill>
            </x14:dxf>
          </x14:cfRule>
          <xm:sqref>Q29</xm:sqref>
        </x14:conditionalFormatting>
        <x14:conditionalFormatting xmlns:xm="http://schemas.microsoft.com/office/excel/2006/main">
          <x14:cfRule type="expression" priority="78" id="{5E4D83BF-D5B9-4310-9249-39F96AC04458}">
            <xm:f>VLOOKUP(Q30,Calendars!$O$1:$U$398,MATCH($X$1,Calendars!$O$1:$U$1,0),FALSE)="Non Contract"</xm:f>
            <x14:dxf>
              <fill>
                <patternFill patternType="lightDown"/>
              </fill>
              <border>
                <bottom/>
              </border>
            </x14:dxf>
          </x14:cfRule>
          <x14:cfRule type="expression" priority="82" id="{5A0D0654-2E58-45FD-BD66-EB4D0DBEC90A}">
            <xm:f>VLOOKUP(Q30,Calendars!$O$1:$U$398,MATCH($X$1,Calendars!$O$1:$U$1,0),FALSE)="Holiday"</xm:f>
            <x14:dxf>
              <fill>
                <patternFill>
                  <bgColor rgb="FFFF99FF"/>
                </patternFill>
              </fill>
              <border>
                <bottom/>
              </border>
            </x14:dxf>
          </x14:cfRule>
          <xm:sqref>Q29</xm:sqref>
        </x14:conditionalFormatting>
        <x14:conditionalFormatting xmlns:xm="http://schemas.microsoft.com/office/excel/2006/main">
          <x14:cfRule type="expression" priority="72" id="{6D553B38-1088-46C6-B4E1-2FD08A054F5A}">
            <xm:f>AND(VLOOKUP(R30,Calendars!$O$1:$U$398,MATCH($X$1,Calendars!$O$1:$U$1,0),FALSE)="Non Contract",$C$5&gt;0)</xm:f>
            <x14:dxf>
              <fill>
                <patternFill patternType="solid">
                  <fgColor theme="4" tint="0.79998168889431442"/>
                  <bgColor theme="8" tint="0.79995117038483843"/>
                </patternFill>
              </fill>
            </x14:dxf>
          </x14:cfRule>
          <xm:sqref>R29</xm:sqref>
        </x14:conditionalFormatting>
        <x14:conditionalFormatting xmlns:xm="http://schemas.microsoft.com/office/excel/2006/main">
          <x14:cfRule type="expression" priority="77" id="{5408BD9A-62E6-4B44-AEE8-E0F61BBC2D18}">
            <xm:f>AND(VLOOKUP(R30,Calendars!$O$1:$U$398,MATCH($X$1,Calendars!$O$1:$U$1,0),FALSE)="",R29=0)</xm:f>
            <x14:dxf>
              <fill>
                <patternFill>
                  <bgColor theme="7" tint="0.79998168889431442"/>
                </patternFill>
              </fill>
            </x14:dxf>
          </x14:cfRule>
          <xm:sqref>R29</xm:sqref>
        </x14:conditionalFormatting>
        <x14:conditionalFormatting xmlns:xm="http://schemas.microsoft.com/office/excel/2006/main">
          <x14:cfRule type="expression" priority="71" id="{CA7CB3ED-8C6C-471A-AFC5-FAB54399846E}">
            <xm:f>VLOOKUP(R30,Calendars!$O$1:$U$398,MATCH($X$1,Calendars!$O$1:$U$1,0),FALSE)="Non Contract"</xm:f>
            <x14:dxf>
              <fill>
                <patternFill patternType="lightDown"/>
              </fill>
              <border>
                <bottom/>
              </border>
            </x14:dxf>
          </x14:cfRule>
          <x14:cfRule type="expression" priority="75" id="{A2120F3C-C97E-4741-83A6-59A3E6666190}">
            <xm:f>VLOOKUP(R30,Calendars!$O$1:$U$398,MATCH($X$1,Calendars!$O$1:$U$1,0),FALSE)="Holiday"</xm:f>
            <x14:dxf>
              <fill>
                <patternFill>
                  <bgColor rgb="FFFF99FF"/>
                </patternFill>
              </fill>
              <border>
                <bottom/>
              </border>
            </x14:dxf>
          </x14:cfRule>
          <xm:sqref>R29</xm:sqref>
        </x14:conditionalFormatting>
        <x14:conditionalFormatting xmlns:xm="http://schemas.microsoft.com/office/excel/2006/main">
          <x14:cfRule type="expression" priority="65" id="{5D89D8AF-E3AC-48E6-80E1-8EC223AE0F05}">
            <xm:f>AND(VLOOKUP(S30,Calendars!$O$1:$U$398,MATCH($X$1,Calendars!$O$1:$U$1,0),FALSE)="Non Contract",$C$5&gt;0)</xm:f>
            <x14:dxf>
              <fill>
                <patternFill patternType="solid">
                  <fgColor theme="4" tint="0.79998168889431442"/>
                  <bgColor theme="8" tint="0.79995117038483843"/>
                </patternFill>
              </fill>
            </x14:dxf>
          </x14:cfRule>
          <xm:sqref>S29:U29</xm:sqref>
        </x14:conditionalFormatting>
        <x14:conditionalFormatting xmlns:xm="http://schemas.microsoft.com/office/excel/2006/main">
          <x14:cfRule type="expression" priority="70" id="{80EFA18C-2D26-4E4C-8454-20CBFBE8A05B}">
            <xm:f>AND(VLOOKUP(S30,Calendars!$O$1:$U$398,MATCH($X$1,Calendars!$O$1:$U$1,0),FALSE)="",S29=0)</xm:f>
            <x14:dxf>
              <fill>
                <patternFill>
                  <bgColor theme="7" tint="0.79998168889431442"/>
                </patternFill>
              </fill>
            </x14:dxf>
          </x14:cfRule>
          <xm:sqref>S29:U29</xm:sqref>
        </x14:conditionalFormatting>
        <x14:conditionalFormatting xmlns:xm="http://schemas.microsoft.com/office/excel/2006/main">
          <x14:cfRule type="expression" priority="64" id="{4CB2F243-DB37-4714-83C9-E800896667E8}">
            <xm:f>VLOOKUP(S30,Calendars!$O$1:$U$398,MATCH($X$1,Calendars!$O$1:$U$1,0),FALSE)="Non Contract"</xm:f>
            <x14:dxf>
              <fill>
                <patternFill patternType="lightDown"/>
              </fill>
              <border>
                <bottom/>
              </border>
            </x14:dxf>
          </x14:cfRule>
          <x14:cfRule type="expression" priority="68" id="{D01DEC07-86C4-46B4-995B-48AADDC1A7A4}">
            <xm:f>VLOOKUP(S30,Calendars!$O$1:$U$398,MATCH($X$1,Calendars!$O$1:$U$1,0),FALSE)="Holiday"</xm:f>
            <x14:dxf>
              <fill>
                <patternFill>
                  <bgColor rgb="FFFF99FF"/>
                </patternFill>
              </fill>
              <border>
                <bottom/>
              </border>
            </x14:dxf>
          </x14:cfRule>
          <xm:sqref>S29:U29</xm:sqref>
        </x14:conditionalFormatting>
        <x14:conditionalFormatting xmlns:xm="http://schemas.microsoft.com/office/excel/2006/main">
          <x14:cfRule type="expression" priority="58" id="{39724567-16C0-49F5-8764-B3A699BE363B}">
            <xm:f>AND(VLOOKUP(Q32,Calendars!$O$1:$U$398,MATCH($X$1,Calendars!$O$1:$U$1,0),FALSE)="Non Contract",$C$5&gt;0)</xm:f>
            <x14:dxf>
              <fill>
                <patternFill patternType="solid">
                  <fgColor theme="4" tint="0.79998168889431442"/>
                  <bgColor theme="8" tint="0.79995117038483843"/>
                </patternFill>
              </fill>
            </x14:dxf>
          </x14:cfRule>
          <xm:sqref>Q31</xm:sqref>
        </x14:conditionalFormatting>
        <x14:conditionalFormatting xmlns:xm="http://schemas.microsoft.com/office/excel/2006/main">
          <x14:cfRule type="expression" priority="63" id="{C69B8EB6-F0F9-4CE1-AA06-66C62771FBFD}">
            <xm:f>AND(VLOOKUP(Q32,Calendars!$O$1:$U$398,MATCH($X$1,Calendars!$O$1:$U$1,0),FALSE)="",Q31=0)</xm:f>
            <x14:dxf>
              <fill>
                <patternFill>
                  <bgColor theme="7" tint="0.79998168889431442"/>
                </patternFill>
              </fill>
            </x14:dxf>
          </x14:cfRule>
          <xm:sqref>Q31</xm:sqref>
        </x14:conditionalFormatting>
        <x14:conditionalFormatting xmlns:xm="http://schemas.microsoft.com/office/excel/2006/main">
          <x14:cfRule type="expression" priority="57" id="{6E8AE5DF-ADD0-41A9-9059-1CC5D12C41BF}">
            <xm:f>VLOOKUP(Q32,Calendars!$O$1:$U$398,MATCH($X$1,Calendars!$O$1:$U$1,0),FALSE)="Non Contract"</xm:f>
            <x14:dxf>
              <fill>
                <patternFill patternType="lightDown"/>
              </fill>
              <border>
                <bottom/>
              </border>
            </x14:dxf>
          </x14:cfRule>
          <x14:cfRule type="expression" priority="61" id="{C540C053-ECC6-4B77-9389-5BCDCCF12D39}">
            <xm:f>VLOOKUP(Q32,Calendars!$O$1:$U$398,MATCH($X$1,Calendars!$O$1:$U$1,0),FALSE)="Holiday"</xm:f>
            <x14:dxf>
              <fill>
                <patternFill>
                  <bgColor rgb="FFFF99FF"/>
                </patternFill>
              </fill>
              <border>
                <bottom/>
              </border>
            </x14:dxf>
          </x14:cfRule>
          <xm:sqref>Q31</xm:sqref>
        </x14:conditionalFormatting>
        <x14:conditionalFormatting xmlns:xm="http://schemas.microsoft.com/office/excel/2006/main">
          <x14:cfRule type="expression" priority="51" id="{FBEC43E9-4BF0-442D-A354-F200FD46BD83}">
            <xm:f>AND(VLOOKUP(R32,Calendars!$O$1:$U$398,MATCH($X$1,Calendars!$O$1:$U$1,0),FALSE)="Non Contract",$C$5&gt;0)</xm:f>
            <x14:dxf>
              <fill>
                <patternFill patternType="solid">
                  <fgColor theme="4" tint="0.79998168889431442"/>
                  <bgColor theme="8" tint="0.79995117038483843"/>
                </patternFill>
              </fill>
            </x14:dxf>
          </x14:cfRule>
          <xm:sqref>R31</xm:sqref>
        </x14:conditionalFormatting>
        <x14:conditionalFormatting xmlns:xm="http://schemas.microsoft.com/office/excel/2006/main">
          <x14:cfRule type="expression" priority="56" id="{3EAEE887-A1DB-4A39-A11F-DF11DEF12CB3}">
            <xm:f>AND(VLOOKUP(R32,Calendars!$O$1:$U$398,MATCH($X$1,Calendars!$O$1:$U$1,0),FALSE)="",R31=0)</xm:f>
            <x14:dxf>
              <fill>
                <patternFill>
                  <bgColor theme="7" tint="0.79998168889431442"/>
                </patternFill>
              </fill>
            </x14:dxf>
          </x14:cfRule>
          <xm:sqref>R31</xm:sqref>
        </x14:conditionalFormatting>
        <x14:conditionalFormatting xmlns:xm="http://schemas.microsoft.com/office/excel/2006/main">
          <x14:cfRule type="expression" priority="50" id="{3EB0F873-FDD6-474B-9DA3-2CE29C6EF6EA}">
            <xm:f>VLOOKUP(R32,Calendars!$O$1:$U$398,MATCH($X$1,Calendars!$O$1:$U$1,0),FALSE)="Non Contract"</xm:f>
            <x14:dxf>
              <fill>
                <patternFill patternType="lightDown"/>
              </fill>
              <border>
                <bottom/>
              </border>
            </x14:dxf>
          </x14:cfRule>
          <x14:cfRule type="expression" priority="54" id="{5A751F09-FB05-416F-9B2F-20A12DD1BA1E}">
            <xm:f>VLOOKUP(R32,Calendars!$O$1:$U$398,MATCH($X$1,Calendars!$O$1:$U$1,0),FALSE)="Holiday"</xm:f>
            <x14:dxf>
              <fill>
                <patternFill>
                  <bgColor rgb="FFFF99FF"/>
                </patternFill>
              </fill>
              <border>
                <bottom/>
              </border>
            </x14:dxf>
          </x14:cfRule>
          <xm:sqref>R31</xm:sqref>
        </x14:conditionalFormatting>
        <x14:conditionalFormatting xmlns:xm="http://schemas.microsoft.com/office/excel/2006/main">
          <x14:cfRule type="expression" priority="44" id="{EDAC888F-736A-4E29-AB6D-B325ACCD2D6D}">
            <xm:f>AND(VLOOKUP(S32,Calendars!$O$1:$U$398,MATCH($X$1,Calendars!$O$1:$U$1,0),FALSE)="Non Contract",$C$5&gt;0)</xm:f>
            <x14:dxf>
              <fill>
                <patternFill patternType="solid">
                  <fgColor theme="4" tint="0.79998168889431442"/>
                  <bgColor theme="8" tint="0.79995117038483843"/>
                </patternFill>
              </fill>
            </x14:dxf>
          </x14:cfRule>
          <xm:sqref>S31:U31</xm:sqref>
        </x14:conditionalFormatting>
        <x14:conditionalFormatting xmlns:xm="http://schemas.microsoft.com/office/excel/2006/main">
          <x14:cfRule type="expression" priority="49" id="{3C0B007D-8937-4354-80F7-AA64A1442C46}">
            <xm:f>AND(VLOOKUP(S32,Calendars!$O$1:$U$398,MATCH($X$1,Calendars!$O$1:$U$1,0),FALSE)="",S31=0)</xm:f>
            <x14:dxf>
              <fill>
                <patternFill>
                  <bgColor theme="7" tint="0.79998168889431442"/>
                </patternFill>
              </fill>
            </x14:dxf>
          </x14:cfRule>
          <xm:sqref>S31:U31</xm:sqref>
        </x14:conditionalFormatting>
        <x14:conditionalFormatting xmlns:xm="http://schemas.microsoft.com/office/excel/2006/main">
          <x14:cfRule type="expression" priority="43" id="{581730C8-EE5B-4B96-8B38-3A99432B6ECD}">
            <xm:f>VLOOKUP(S32,Calendars!$O$1:$U$398,MATCH($X$1,Calendars!$O$1:$U$1,0),FALSE)="Non Contract"</xm:f>
            <x14:dxf>
              <fill>
                <patternFill patternType="lightDown"/>
              </fill>
              <border>
                <bottom/>
              </border>
            </x14:dxf>
          </x14:cfRule>
          <x14:cfRule type="expression" priority="47" id="{84BE23B3-A7EC-475C-B122-F836BB420449}">
            <xm:f>VLOOKUP(S32,Calendars!$O$1:$U$398,MATCH($X$1,Calendars!$O$1:$U$1,0),FALSE)="Holiday"</xm:f>
            <x14:dxf>
              <fill>
                <patternFill>
                  <bgColor rgb="FFFF99FF"/>
                </patternFill>
              </fill>
              <border>
                <bottom/>
              </border>
            </x14:dxf>
          </x14:cfRule>
          <xm:sqref>S31:U31</xm:sqref>
        </x14:conditionalFormatting>
        <x14:conditionalFormatting xmlns:xm="http://schemas.microsoft.com/office/excel/2006/main">
          <x14:cfRule type="expression" priority="37" id="{3B13F40E-CFA8-4361-8657-6EC64E1C8171}">
            <xm:f>AND(VLOOKUP(Q34,Calendars!$O$1:$U$398,MATCH($X$1,Calendars!$O$1:$U$1,0),FALSE)="Non Contract",$C$5&gt;0)</xm:f>
            <x14:dxf>
              <fill>
                <patternFill patternType="solid">
                  <fgColor theme="4" tint="0.79998168889431442"/>
                  <bgColor theme="8" tint="0.79995117038483843"/>
                </patternFill>
              </fill>
            </x14:dxf>
          </x14:cfRule>
          <xm:sqref>Q33</xm:sqref>
        </x14:conditionalFormatting>
        <x14:conditionalFormatting xmlns:xm="http://schemas.microsoft.com/office/excel/2006/main">
          <x14:cfRule type="expression" priority="42" id="{FCE52131-D3E4-41D0-903B-BD174D6C7B04}">
            <xm:f>AND(VLOOKUP(Q34,Calendars!$O$1:$U$398,MATCH($X$1,Calendars!$O$1:$U$1,0),FALSE)="",Q33=0)</xm:f>
            <x14:dxf>
              <fill>
                <patternFill>
                  <bgColor theme="7" tint="0.79998168889431442"/>
                </patternFill>
              </fill>
            </x14:dxf>
          </x14:cfRule>
          <xm:sqref>Q33</xm:sqref>
        </x14:conditionalFormatting>
        <x14:conditionalFormatting xmlns:xm="http://schemas.microsoft.com/office/excel/2006/main">
          <x14:cfRule type="expression" priority="36" id="{80D9F3A8-3F64-4DE7-A84D-2AB84021AFE8}">
            <xm:f>VLOOKUP(Q34,Calendars!$O$1:$U$398,MATCH($X$1,Calendars!$O$1:$U$1,0),FALSE)="Non Contract"</xm:f>
            <x14:dxf>
              <fill>
                <patternFill patternType="lightDown"/>
              </fill>
              <border>
                <bottom/>
              </border>
            </x14:dxf>
          </x14:cfRule>
          <x14:cfRule type="expression" priority="40" id="{6EF0BF58-3B4E-4289-90BC-B8A882BFBB10}">
            <xm:f>VLOOKUP(Q34,Calendars!$O$1:$U$398,MATCH($X$1,Calendars!$O$1:$U$1,0),FALSE)="Holiday"</xm:f>
            <x14:dxf>
              <fill>
                <patternFill>
                  <bgColor rgb="FFFF99FF"/>
                </patternFill>
              </fill>
              <border>
                <bottom/>
              </border>
            </x14:dxf>
          </x14:cfRule>
          <xm:sqref>Q33</xm:sqref>
        </x14:conditionalFormatting>
        <x14:conditionalFormatting xmlns:xm="http://schemas.microsoft.com/office/excel/2006/main">
          <x14:cfRule type="expression" priority="30" id="{34FD2C1F-780D-49DD-9B28-5577847B8E98}">
            <xm:f>AND(VLOOKUP(R34,Calendars!$O$1:$U$398,MATCH($X$1,Calendars!$O$1:$U$1,0),FALSE)="Non Contract",$C$5&gt;0)</xm:f>
            <x14:dxf>
              <fill>
                <patternFill patternType="solid">
                  <fgColor theme="4" tint="0.79998168889431442"/>
                  <bgColor theme="8" tint="0.79995117038483843"/>
                </patternFill>
              </fill>
            </x14:dxf>
          </x14:cfRule>
          <xm:sqref>R33</xm:sqref>
        </x14:conditionalFormatting>
        <x14:conditionalFormatting xmlns:xm="http://schemas.microsoft.com/office/excel/2006/main">
          <x14:cfRule type="expression" priority="35" id="{2EE17A18-BFB2-4B3D-A70C-4DB72F09B1CF}">
            <xm:f>AND(VLOOKUP(R34,Calendars!$O$1:$U$398,MATCH($X$1,Calendars!$O$1:$U$1,0),FALSE)="",R33=0)</xm:f>
            <x14:dxf>
              <fill>
                <patternFill>
                  <bgColor theme="7" tint="0.79998168889431442"/>
                </patternFill>
              </fill>
            </x14:dxf>
          </x14:cfRule>
          <xm:sqref>R33</xm:sqref>
        </x14:conditionalFormatting>
        <x14:conditionalFormatting xmlns:xm="http://schemas.microsoft.com/office/excel/2006/main">
          <x14:cfRule type="expression" priority="29" id="{16F42E9C-24A5-4E67-80DA-66D1BC4B4623}">
            <xm:f>VLOOKUP(R34,Calendars!$O$1:$U$398,MATCH($X$1,Calendars!$O$1:$U$1,0),FALSE)="Non Contract"</xm:f>
            <x14:dxf>
              <fill>
                <patternFill patternType="lightDown"/>
              </fill>
              <border>
                <bottom/>
              </border>
            </x14:dxf>
          </x14:cfRule>
          <x14:cfRule type="expression" priority="33" id="{29708D24-6BD0-4F17-81D3-BF7C81948D9B}">
            <xm:f>VLOOKUP(R34,Calendars!$O$1:$U$398,MATCH($X$1,Calendars!$O$1:$U$1,0),FALSE)="Holiday"</xm:f>
            <x14:dxf>
              <fill>
                <patternFill>
                  <bgColor rgb="FFFF99FF"/>
                </patternFill>
              </fill>
              <border>
                <bottom/>
              </border>
            </x14:dxf>
          </x14:cfRule>
          <xm:sqref>R33</xm:sqref>
        </x14:conditionalFormatting>
        <x14:conditionalFormatting xmlns:xm="http://schemas.microsoft.com/office/excel/2006/main">
          <x14:cfRule type="expression" priority="23" id="{01A4D437-4FD1-448C-ADAD-2BD486AC4BF6}">
            <xm:f>AND(VLOOKUP(S34,Calendars!$O$1:$U$398,MATCH($X$1,Calendars!$O$1:$U$1,0),FALSE)="Non Contract",$C$5&gt;0)</xm:f>
            <x14:dxf>
              <fill>
                <patternFill patternType="solid">
                  <fgColor theme="4" tint="0.79998168889431442"/>
                  <bgColor theme="8" tint="0.79995117038483843"/>
                </patternFill>
              </fill>
            </x14:dxf>
          </x14:cfRule>
          <xm:sqref>S33:U33</xm:sqref>
        </x14:conditionalFormatting>
        <x14:conditionalFormatting xmlns:xm="http://schemas.microsoft.com/office/excel/2006/main">
          <x14:cfRule type="expression" priority="28" id="{B7931A34-4AB4-480D-BCA5-4F2F60896E3E}">
            <xm:f>AND(VLOOKUP(S34,Calendars!$O$1:$U$398,MATCH($X$1,Calendars!$O$1:$U$1,0),FALSE)="",S33=0)</xm:f>
            <x14:dxf>
              <fill>
                <patternFill>
                  <bgColor theme="7" tint="0.79998168889431442"/>
                </patternFill>
              </fill>
            </x14:dxf>
          </x14:cfRule>
          <xm:sqref>S33:U33</xm:sqref>
        </x14:conditionalFormatting>
        <x14:conditionalFormatting xmlns:xm="http://schemas.microsoft.com/office/excel/2006/main">
          <x14:cfRule type="expression" priority="22" id="{6E16D69A-920B-4D9C-86D6-5D0D19476E08}">
            <xm:f>VLOOKUP(S34,Calendars!$O$1:$U$398,MATCH($X$1,Calendars!$O$1:$U$1,0),FALSE)="Non Contract"</xm:f>
            <x14:dxf>
              <fill>
                <patternFill patternType="lightDown"/>
              </fill>
              <border>
                <bottom/>
              </border>
            </x14:dxf>
          </x14:cfRule>
          <x14:cfRule type="expression" priority="26" id="{027BBD44-58AC-4F76-9175-E54C52794D98}">
            <xm:f>VLOOKUP(S34,Calendars!$O$1:$U$398,MATCH($X$1,Calendars!$O$1:$U$1,0),FALSE)="Holiday"</xm:f>
            <x14:dxf>
              <fill>
                <patternFill>
                  <bgColor rgb="FFFF99FF"/>
                </patternFill>
              </fill>
              <border>
                <bottom/>
              </border>
            </x14:dxf>
          </x14:cfRule>
          <xm:sqref>S33:U33</xm:sqref>
        </x14:conditionalFormatting>
        <x14:conditionalFormatting xmlns:xm="http://schemas.microsoft.com/office/excel/2006/main">
          <x14:cfRule type="expression" priority="16" id="{4AE4A308-5F65-4A48-AE97-8C94313899A2}">
            <xm:f>AND(VLOOKUP(Q36,Calendars!$O$1:$U$398,MATCH($X$1,Calendars!$O$1:$U$1,0),FALSE)="Non Contract",$C$5&gt;0)</xm:f>
            <x14:dxf>
              <fill>
                <patternFill patternType="solid">
                  <fgColor theme="4" tint="0.79998168889431442"/>
                  <bgColor theme="8" tint="0.79995117038483843"/>
                </patternFill>
              </fill>
            </x14:dxf>
          </x14:cfRule>
          <xm:sqref>Q35</xm:sqref>
        </x14:conditionalFormatting>
        <x14:conditionalFormatting xmlns:xm="http://schemas.microsoft.com/office/excel/2006/main">
          <x14:cfRule type="expression" priority="21" id="{EE52AF24-2EB8-456F-8719-A68266EE29E6}">
            <xm:f>AND(VLOOKUP(Q36,Calendars!$O$1:$U$398,MATCH($X$1,Calendars!$O$1:$U$1,0),FALSE)="",Q35=0)</xm:f>
            <x14:dxf>
              <fill>
                <patternFill>
                  <bgColor theme="7" tint="0.79998168889431442"/>
                </patternFill>
              </fill>
            </x14:dxf>
          </x14:cfRule>
          <xm:sqref>Q35</xm:sqref>
        </x14:conditionalFormatting>
        <x14:conditionalFormatting xmlns:xm="http://schemas.microsoft.com/office/excel/2006/main">
          <x14:cfRule type="expression" priority="15" id="{BC2130CC-B8A6-4AA7-A64C-A19C4F129F13}">
            <xm:f>VLOOKUP(Q36,Calendars!$O$1:$U$398,MATCH($X$1,Calendars!$O$1:$U$1,0),FALSE)="Non Contract"</xm:f>
            <x14:dxf>
              <fill>
                <patternFill patternType="lightDown"/>
              </fill>
              <border>
                <bottom/>
              </border>
            </x14:dxf>
          </x14:cfRule>
          <x14:cfRule type="expression" priority="19" id="{F347BF60-CDAB-4F82-8B7D-4587F195AF12}">
            <xm:f>VLOOKUP(Q36,Calendars!$O$1:$U$398,MATCH($X$1,Calendars!$O$1:$U$1,0),FALSE)="Holiday"</xm:f>
            <x14:dxf>
              <fill>
                <patternFill>
                  <bgColor rgb="FFFF99FF"/>
                </patternFill>
              </fill>
              <border>
                <bottom/>
              </border>
            </x14:dxf>
          </x14:cfRule>
          <xm:sqref>Q35</xm:sqref>
        </x14:conditionalFormatting>
        <x14:conditionalFormatting xmlns:xm="http://schemas.microsoft.com/office/excel/2006/main">
          <x14:cfRule type="expression" priority="9" id="{299AF694-5CC2-461B-8FF2-65882240D6DB}">
            <xm:f>AND(VLOOKUP(R36,Calendars!$O$1:$U$398,MATCH($X$1,Calendars!$O$1:$U$1,0),FALSE)="Non Contract",$C$5&gt;0)</xm:f>
            <x14:dxf>
              <fill>
                <patternFill patternType="solid">
                  <fgColor theme="4" tint="0.79998168889431442"/>
                  <bgColor theme="8" tint="0.79995117038483843"/>
                </patternFill>
              </fill>
            </x14:dxf>
          </x14:cfRule>
          <xm:sqref>R35</xm:sqref>
        </x14:conditionalFormatting>
        <x14:conditionalFormatting xmlns:xm="http://schemas.microsoft.com/office/excel/2006/main">
          <x14:cfRule type="expression" priority="14" id="{0937063D-71FB-438B-861C-2B7AD5C9B6A0}">
            <xm:f>AND(VLOOKUP(R36,Calendars!$O$1:$U$398,MATCH($X$1,Calendars!$O$1:$U$1,0),FALSE)="",R35=0)</xm:f>
            <x14:dxf>
              <fill>
                <patternFill>
                  <bgColor theme="7" tint="0.79998168889431442"/>
                </patternFill>
              </fill>
            </x14:dxf>
          </x14:cfRule>
          <xm:sqref>R35</xm:sqref>
        </x14:conditionalFormatting>
        <x14:conditionalFormatting xmlns:xm="http://schemas.microsoft.com/office/excel/2006/main">
          <x14:cfRule type="expression" priority="8" id="{127AACC0-59DD-4F73-92F1-9910CAF933F0}">
            <xm:f>VLOOKUP(R36,Calendars!$O$1:$U$398,MATCH($X$1,Calendars!$O$1:$U$1,0),FALSE)="Non Contract"</xm:f>
            <x14:dxf>
              <fill>
                <patternFill patternType="lightDown"/>
              </fill>
              <border>
                <bottom/>
              </border>
            </x14:dxf>
          </x14:cfRule>
          <x14:cfRule type="expression" priority="12" id="{D6FADDEF-4F44-47FE-B5F7-3FF1EA8C1EED}">
            <xm:f>VLOOKUP(R36,Calendars!$O$1:$U$398,MATCH($X$1,Calendars!$O$1:$U$1,0),FALSE)="Holiday"</xm:f>
            <x14:dxf>
              <fill>
                <patternFill>
                  <bgColor rgb="FFFF99FF"/>
                </patternFill>
              </fill>
              <border>
                <bottom/>
              </border>
            </x14:dxf>
          </x14:cfRule>
          <xm:sqref>R35</xm:sqref>
        </x14:conditionalFormatting>
        <x14:conditionalFormatting xmlns:xm="http://schemas.microsoft.com/office/excel/2006/main">
          <x14:cfRule type="expression" priority="2" id="{E4F936F8-ED98-492C-8D8A-39CB39B1A50F}">
            <xm:f>AND(VLOOKUP(S36,Calendars!$O$1:$U$398,MATCH($X$1,Calendars!$O$1:$U$1,0),FALSE)="Non Contract",$C$5&gt;0)</xm:f>
            <x14:dxf>
              <fill>
                <patternFill patternType="solid">
                  <fgColor theme="4" tint="0.79998168889431442"/>
                  <bgColor theme="8" tint="0.79995117038483843"/>
                </patternFill>
              </fill>
            </x14:dxf>
          </x14:cfRule>
          <xm:sqref>S35:U35</xm:sqref>
        </x14:conditionalFormatting>
        <x14:conditionalFormatting xmlns:xm="http://schemas.microsoft.com/office/excel/2006/main">
          <x14:cfRule type="expression" priority="7" id="{F64EFECB-C0F9-467F-890B-F1101612BAC4}">
            <xm:f>AND(VLOOKUP(S36,Calendars!$O$1:$U$398,MATCH($X$1,Calendars!$O$1:$U$1,0),FALSE)="",S35=0)</xm:f>
            <x14:dxf>
              <fill>
                <patternFill>
                  <bgColor theme="7" tint="0.79998168889431442"/>
                </patternFill>
              </fill>
            </x14:dxf>
          </x14:cfRule>
          <xm:sqref>S35:U35</xm:sqref>
        </x14:conditionalFormatting>
        <x14:conditionalFormatting xmlns:xm="http://schemas.microsoft.com/office/excel/2006/main">
          <x14:cfRule type="expression" priority="1" id="{D32E999E-402E-449A-9DF6-17499B0483A5}">
            <xm:f>VLOOKUP(S36,Calendars!$O$1:$U$398,MATCH($X$1,Calendars!$O$1:$U$1,0),FALSE)="Non Contract"</xm:f>
            <x14:dxf>
              <fill>
                <patternFill patternType="lightDown"/>
              </fill>
              <border>
                <bottom/>
              </border>
            </x14:dxf>
          </x14:cfRule>
          <x14:cfRule type="expression" priority="5" id="{1349A75D-78B7-43A6-B894-33DC7B01A13D}">
            <xm:f>VLOOKUP(S36,Calendars!$O$1:$U$398,MATCH($X$1,Calendars!$O$1:$U$1,0),FALSE)="Holiday"</xm:f>
            <x14:dxf>
              <fill>
                <patternFill>
                  <bgColor rgb="FFFF99FF"/>
                </patternFill>
              </fill>
              <border>
                <bottom/>
              </border>
            </x14:dxf>
          </x14:cfRule>
          <xm:sqref>S35:U35</xm:sqref>
        </x14:conditionalFormatting>
        <x14:conditionalFormatting xmlns:xm="http://schemas.microsoft.com/office/excel/2006/main">
          <x14:cfRule type="expression" priority="106" id="{2C76AE55-1D04-48D3-9277-7C44697407A2}">
            <xm:f>VLOOKUP(Q28,Calendars!$V$1:$AB$398,MATCH($X$1,Calendars!$V$1:$AB$1,0),FALSE)="MPTC"</xm:f>
            <x14:dxf>
              <fill>
                <patternFill>
                  <bgColor theme="5" tint="0.39994506668294322"/>
                </patternFill>
              </fill>
            </x14:dxf>
          </x14:cfRule>
          <x14:cfRule type="expression" priority="107" id="{C249C91E-9219-4449-BCFF-1F0A5B704AD4}">
            <xm:f>VLOOKUP(Q28,Calendars!$V$1:$AB$398,MATCH($X$1,Calendars!$V$1:$AB$1,0),FALSE)="PTC"</xm:f>
            <x14:dxf>
              <fill>
                <patternFill>
                  <bgColor theme="5" tint="-0.24994659260841701"/>
                </patternFill>
              </fill>
            </x14:dxf>
          </x14:cfRule>
          <x14:cfRule type="expression" priority="108" id="{2BB52707-E43F-40B1-A28E-828C357DEF83}">
            <xm:f>VLOOKUP(Q28,Calendars!$V$1:$AB$398,MATCH($X$1,Calendars!$V$1:$AB$1,0),FALSE)="PD"</xm:f>
            <x14:dxf>
              <fill>
                <patternFill>
                  <bgColor rgb="FF0070C0"/>
                </patternFill>
              </fill>
            </x14:dxf>
          </x14:cfRule>
          <x14:cfRule type="expression" priority="109" id="{F294AC79-80C0-487A-9492-9D22DF371C67}">
            <xm:f>VLOOKUP(Q28,Calendars!$O$1:$U$398,MATCH($X$1,Calendars!$O$1:$U$1,0),FALSE)="Non Contract"</xm:f>
            <x14:dxf>
              <fill>
                <patternFill patternType="lightDown"/>
              </fill>
            </x14:dxf>
          </x14:cfRule>
          <x14:cfRule type="expression" priority="110" id="{F2604121-EF20-406E-88A0-5271191F46BE}">
            <xm:f>VLOOKUP(Q28,Calendars!$O$1:$U$398,MATCH($X$1,Calendars!$O$1:$U$1,0),FALSE)="Holiday"</xm:f>
            <x14:dxf>
              <fill>
                <patternFill>
                  <bgColor rgb="FFFF99FF"/>
                </patternFill>
              </fill>
            </x14:dxf>
          </x14:cfRule>
          <xm:sqref>Q28:U28 Q30:U30 Q32:U32 Q34:U34 Q36:U36</xm:sqref>
        </x14:conditionalFormatting>
      </x14:conditionalFormattings>
    </ext>
    <ext xmlns:x14="http://schemas.microsoft.com/office/spreadsheetml/2009/9/main" uri="{CCE6A557-97BC-4b89-ADB6-D9C93CAAB3DF}">
      <x14:dataValidations xmlns:xm="http://schemas.microsoft.com/office/excel/2006/main" xWindow="802" yWindow="690" count="1">
        <x14:dataValidation type="list" allowBlank="1" showInputMessage="1" showErrorMessage="1" xr:uid="{00000000-0002-0000-0200-000003000000}">
          <x14:formula1>
            <xm:f>Calendars!$AM$2:$AM$115</xm:f>
          </x14:formula1>
          <xm:sqref>D2:I2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BI55"/>
  <sheetViews>
    <sheetView showGridLines="0" view="pageLayout" topLeftCell="B1" zoomScale="85" zoomScaleNormal="100" zoomScalePageLayoutView="85" workbookViewId="0">
      <selection activeCell="P47" sqref="P47:AB52"/>
    </sheetView>
  </sheetViews>
  <sheetFormatPr defaultColWidth="5.5703125" defaultRowHeight="15" x14ac:dyDescent="0.25"/>
  <cols>
    <col min="1" max="4" width="7.140625" customWidth="1"/>
    <col min="5" max="5" width="6.85546875" customWidth="1"/>
    <col min="6" max="16" width="7.140625" customWidth="1"/>
    <col min="17" max="17" width="7.42578125" customWidth="1"/>
    <col min="18" max="29" width="7.140625" customWidth="1"/>
    <col min="30" max="30" width="8.42578125" bestFit="1" customWidth="1"/>
  </cols>
  <sheetData>
    <row r="1" spans="1:34" ht="30" customHeight="1" x14ac:dyDescent="0.35">
      <c r="A1" s="47"/>
      <c r="B1" s="319" t="s">
        <v>171</v>
      </c>
      <c r="C1" s="319"/>
      <c r="D1" s="320">
        <f>'Teacher A'!D2</f>
        <v>0</v>
      </c>
      <c r="E1" s="320"/>
      <c r="F1" s="320"/>
      <c r="G1" s="320"/>
      <c r="H1" s="320"/>
      <c r="I1" s="320"/>
      <c r="J1" s="320"/>
      <c r="K1" s="320"/>
      <c r="L1" s="320"/>
      <c r="M1" s="63"/>
      <c r="N1" s="300" t="s">
        <v>55</v>
      </c>
      <c r="O1" s="300"/>
      <c r="P1" s="301">
        <f>'Teacher A'!X1</f>
        <v>0</v>
      </c>
      <c r="Q1" s="301"/>
      <c r="R1" s="64"/>
      <c r="S1" s="64"/>
      <c r="T1" s="64"/>
      <c r="U1" s="64"/>
      <c r="V1" s="53"/>
      <c r="W1" s="53"/>
      <c r="X1" s="53"/>
      <c r="Y1" s="53"/>
      <c r="Z1" s="53"/>
      <c r="AA1" s="53"/>
      <c r="AB1" s="54"/>
      <c r="AC1" s="12"/>
    </row>
    <row r="2" spans="1:34" ht="34.5" customHeight="1" x14ac:dyDescent="0.3">
      <c r="A2" s="48"/>
      <c r="B2" s="319" t="s">
        <v>172</v>
      </c>
      <c r="C2" s="319"/>
      <c r="D2" s="320">
        <f>'Teacher A'!D1</f>
        <v>0</v>
      </c>
      <c r="E2" s="320"/>
      <c r="F2" s="320"/>
      <c r="G2" s="320"/>
      <c r="H2" s="320"/>
      <c r="I2" s="320"/>
      <c r="J2" s="320"/>
      <c r="K2" s="320"/>
      <c r="L2" s="320"/>
      <c r="M2" s="65" t="str">
        <f>LEFT(D2,3)</f>
        <v>0</v>
      </c>
      <c r="N2" s="70" t="s">
        <v>50</v>
      </c>
      <c r="O2" s="71">
        <f>'Teacher A'!L2</f>
        <v>0</v>
      </c>
      <c r="P2" s="70" t="s">
        <v>51</v>
      </c>
      <c r="Q2" s="304" t="e">
        <f>'Teacher A'!X2</f>
        <v>#N/A</v>
      </c>
      <c r="R2" s="304"/>
      <c r="S2" s="46"/>
      <c r="T2" s="303" t="s">
        <v>53</v>
      </c>
      <c r="U2" s="303"/>
      <c r="V2" s="12"/>
      <c r="W2" s="12"/>
      <c r="X2" s="12"/>
      <c r="Y2" s="55"/>
      <c r="Z2" s="12"/>
      <c r="AA2" s="12"/>
      <c r="AB2" s="12"/>
      <c r="AC2" s="12"/>
    </row>
    <row r="3" spans="1:34" ht="39" customHeight="1" x14ac:dyDescent="0.3">
      <c r="A3" s="48"/>
      <c r="B3" s="319" t="s">
        <v>173</v>
      </c>
      <c r="C3" s="319" t="s">
        <v>42</v>
      </c>
      <c r="D3" s="321">
        <f>'Teacher B'!D1</f>
        <v>0</v>
      </c>
      <c r="E3" s="321"/>
      <c r="F3" s="321"/>
      <c r="G3" s="321"/>
      <c r="H3" s="321"/>
      <c r="I3" s="321"/>
      <c r="J3" s="321"/>
      <c r="K3" s="321"/>
      <c r="L3" s="321"/>
      <c r="M3" s="65" t="str">
        <f>LEFT(D3,3)</f>
        <v>0</v>
      </c>
      <c r="N3" s="70" t="s">
        <v>50</v>
      </c>
      <c r="O3" s="72">
        <f>'Teacher B'!L2</f>
        <v>0</v>
      </c>
      <c r="P3" s="70" t="s">
        <v>51</v>
      </c>
      <c r="Q3" s="305" t="e">
        <f>'Teacher B'!X2</f>
        <v>#N/A</v>
      </c>
      <c r="R3" s="305"/>
      <c r="S3" s="46"/>
      <c r="T3" s="46"/>
      <c r="U3" s="66"/>
      <c r="V3" s="56"/>
      <c r="W3" s="57"/>
      <c r="X3" s="99"/>
      <c r="Y3" s="58"/>
      <c r="Z3" s="12"/>
      <c r="AA3" s="24"/>
      <c r="AB3" s="56"/>
      <c r="AC3" s="12"/>
    </row>
    <row r="4" spans="1:34" ht="15.75" x14ac:dyDescent="0.25">
      <c r="A4" s="4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12"/>
    </row>
    <row r="5" spans="1:34" ht="15.75" thickBot="1" x14ac:dyDescent="0.3">
      <c r="A5" s="50"/>
      <c r="B5" s="60"/>
      <c r="C5" s="60" t="s">
        <v>1</v>
      </c>
      <c r="D5" s="60" t="s">
        <v>2</v>
      </c>
      <c r="E5" s="60" t="s">
        <v>3</v>
      </c>
      <c r="F5" s="60" t="s">
        <v>4</v>
      </c>
      <c r="G5" s="60" t="s">
        <v>5</v>
      </c>
      <c r="H5" s="60"/>
      <c r="I5" s="60"/>
      <c r="J5" s="60" t="s">
        <v>1</v>
      </c>
      <c r="K5" s="60" t="s">
        <v>2</v>
      </c>
      <c r="L5" s="60" t="s">
        <v>3</v>
      </c>
      <c r="M5" s="60" t="s">
        <v>4</v>
      </c>
      <c r="N5" s="60" t="s">
        <v>5</v>
      </c>
      <c r="O5" s="60"/>
      <c r="P5" s="60"/>
      <c r="Q5" s="60" t="s">
        <v>1</v>
      </c>
      <c r="R5" s="60" t="s">
        <v>2</v>
      </c>
      <c r="S5" s="60" t="s">
        <v>3</v>
      </c>
      <c r="T5" s="60" t="s">
        <v>4</v>
      </c>
      <c r="U5" s="60" t="s">
        <v>5</v>
      </c>
      <c r="V5" s="60"/>
      <c r="W5" s="60"/>
      <c r="X5" s="60" t="s">
        <v>1</v>
      </c>
      <c r="Y5" s="60" t="s">
        <v>2</v>
      </c>
      <c r="Z5" s="60" t="s">
        <v>3</v>
      </c>
      <c r="AA5" s="60" t="s">
        <v>4</v>
      </c>
      <c r="AB5" s="60" t="s">
        <v>5</v>
      </c>
      <c r="AC5" s="12"/>
    </row>
    <row r="6" spans="1:34" ht="16.5" customHeight="1" x14ac:dyDescent="0.25">
      <c r="A6" s="25"/>
      <c r="B6" s="292" t="s">
        <v>6</v>
      </c>
      <c r="C6" s="150" t="str">
        <f>IF('Teacher A'!C5+'Teacher B'!C5=0,"",IF(AND('Teacher A'!C5&gt;6,'Teacher B'!C5=0),UPPER($M$2),IF(AND('Teacher B'!C5&gt;6,'Teacher A'!C5=0),UPPER($M$3),IF(AND('Teacher A'!C5&gt;0,'Teacher A'!C5&lt;6,'Teacher B'!C5=0),LOWER($M$2),IF(AND('Teacher B'!C5&lt;6,'Teacher B'!C5&gt;0,'Teacher A'!C5=0),LOWER($M$3),IF(AND('Teacher A'!C5+'Teacher B'!C5&lt;8.5,'Teacher A'!C5+'Teacher B'!C5&gt;0),"Both","Error"))))))</f>
        <v/>
      </c>
      <c r="D6" s="151" t="str">
        <f>IF('Teacher A'!D5+'Teacher B'!D5=0,"",IF(AND('Teacher A'!D5&gt;6,'Teacher B'!D5=0),UPPER($M$2),IF(AND('Teacher B'!D5&gt;6,'Teacher A'!D5=0),UPPER($M$3),IF(AND('Teacher A'!D5&gt;0,'Teacher A'!D5&lt;6,'Teacher B'!D5=0),LOWER($M$2),IF(AND('Teacher B'!D5&lt;6,'Teacher B'!D5&gt;0,'Teacher A'!D5=0),LOWER($M$3),IF(AND('Teacher A'!D5+'Teacher B'!D5&lt;8.5,'Teacher A'!D5+'Teacher B'!D5&gt;0),"Both","Error"))))))</f>
        <v/>
      </c>
      <c r="E6" s="151" t="str">
        <f>IF('Teacher A'!E5+'Teacher B'!E5=0,"",IF(AND('Teacher A'!E5&gt;6,'Teacher B'!E5=0),UPPER($M$2),IF(AND('Teacher B'!E5&gt;6,'Teacher A'!E5=0),UPPER($M$3),IF(AND('Teacher A'!E5&gt;0,'Teacher A'!E5&lt;6,'Teacher B'!E5=0),LOWER($M$2),IF(AND('Teacher B'!E5&lt;6,'Teacher B'!E5&gt;0,'Teacher A'!E5=0),LOWER($M$3),IF(AND('Teacher A'!E5+'Teacher B'!E5&lt;8.5,'Teacher A'!E5+'Teacher B'!E5&gt;0),"Both","Error"))))))</f>
        <v/>
      </c>
      <c r="F6" s="151" t="str">
        <f>IF('Teacher A'!F5+'Teacher B'!F5=0,"",IF(AND('Teacher A'!F5&gt;6,'Teacher B'!F5=0),UPPER($M$2),IF(AND('Teacher B'!F5&gt;6,'Teacher A'!F5=0),UPPER($M$3),IF(AND('Teacher A'!F5&gt;0,'Teacher A'!F5&lt;6,'Teacher B'!F5=0),LOWER($M$2),IF(AND('Teacher B'!F5&lt;6,'Teacher B'!F5&gt;0,'Teacher A'!F5=0),LOWER($M$3),IF(AND('Teacher A'!F5+'Teacher B'!F5&lt;8.5,'Teacher A'!F5+'Teacher B'!F5&gt;0),"Both","Error"))))))</f>
        <v/>
      </c>
      <c r="G6" s="152" t="str">
        <f>IF('Teacher A'!G5+'Teacher B'!G5=0,"",IF(AND('Teacher A'!G5&gt;6,'Teacher B'!G5=0),UPPER($M$2),IF(AND('Teacher B'!G5&gt;6,'Teacher A'!G5=0),UPPER($M$3),IF(AND('Teacher A'!G5&gt;0,'Teacher A'!G5&lt;6,'Teacher B'!G5=0),LOWER($M$2),IF(AND('Teacher B'!G5&lt;6,'Teacher B'!G5&gt;0,'Teacher A'!G5=0),LOWER($M$3),IF(AND('Teacher A'!G5+'Teacher B'!G5&lt;8.5,'Teacher A'!G5+'Teacher B'!G5&gt;0),"Both","Error"))))))</f>
        <v/>
      </c>
      <c r="H6" s="153"/>
      <c r="I6" s="309" t="s">
        <v>7</v>
      </c>
      <c r="J6" s="150" t="str">
        <f>IF('Teacher A'!J5+'Teacher B'!J5=0,"",IF(AND('Teacher A'!J5&gt;6,'Teacher B'!J5=0),UPPER($M$2),IF(AND('Teacher B'!J5&gt;6,'Teacher A'!J5=0),UPPER($M$3),IF(AND('Teacher A'!J5&gt;0,'Teacher A'!J5&lt;6,'Teacher B'!J5=0),LOWER($M$2),IF(AND('Teacher B'!J5&lt;6,'Teacher B'!J5&gt;0,'Teacher A'!J5=0),LOWER($M$3),IF(AND('Teacher A'!J5+'Teacher B'!J5&lt;8.5,'Teacher A'!J5+'Teacher B'!J5&gt;0),"Both","Error"))))))</f>
        <v/>
      </c>
      <c r="K6" s="151" t="str">
        <f>IF('Teacher A'!K5+'Teacher B'!K5=0,"",IF(AND('Teacher A'!K5&gt;6,'Teacher B'!K5=0),UPPER($M$2),IF(AND('Teacher B'!K5&gt;6,'Teacher A'!K5=0),UPPER($M$3),IF(AND('Teacher A'!K5&gt;0,'Teacher A'!K5&lt;6,'Teacher B'!K5=0),LOWER($M$2),IF(AND('Teacher B'!K5&lt;6,'Teacher B'!K5&gt;0,'Teacher A'!K5=0),LOWER($M$3),IF(AND('Teacher A'!K5+'Teacher B'!K5&lt;8.5,'Teacher A'!K5+'Teacher B'!K5&gt;0),"Both","Error"))))))</f>
        <v/>
      </c>
      <c r="L6" s="151" t="str">
        <f>IF('Teacher A'!L5+'Teacher B'!L5=0,"",IF(AND('Teacher A'!L5&gt;6,'Teacher B'!L5=0),UPPER($M$2),IF(AND('Teacher B'!L5&gt;6,'Teacher A'!L5=0),UPPER($M$3),IF(AND('Teacher A'!L5&gt;0,'Teacher A'!L5&lt;6,'Teacher B'!L5=0),LOWER($M$2),IF(AND('Teacher B'!L5&lt;6,'Teacher B'!L5&gt;0,'Teacher A'!L5=0),LOWER($M$3),IF(AND('Teacher A'!L5+'Teacher B'!L5&lt;8.5,'Teacher A'!L5+'Teacher B'!L5&gt;0),"Both","Error"))))))</f>
        <v/>
      </c>
      <c r="M6" s="151" t="str">
        <f>IF('Teacher A'!M5+'Teacher B'!M5=0,"",IF(AND('Teacher A'!M5&gt;6,'Teacher B'!M5=0),UPPER($M$2),IF(AND('Teacher B'!M5&gt;6,'Teacher A'!M5=0),UPPER($M$3),IF(AND('Teacher A'!M5&gt;0,'Teacher A'!M5&lt;6,'Teacher B'!M5=0),LOWER($M$2),IF(AND('Teacher B'!M5&lt;6,'Teacher B'!M5&gt;0,'Teacher A'!M5=0),LOWER($M$3),IF(AND('Teacher A'!M5+'Teacher B'!M5&lt;8.5,'Teacher A'!M5+'Teacher B'!M5&gt;0),"Both","Error"))))))</f>
        <v/>
      </c>
      <c r="N6" s="152" t="str">
        <f>IF('Teacher A'!N5+'Teacher B'!N5=0,"",IF(AND('Teacher A'!N5&gt;6,'Teacher B'!N5=0),UPPER($M$2),IF(AND('Teacher B'!N5&gt;6,'Teacher A'!N5=0),UPPER($M$3),IF(AND('Teacher A'!N5&gt;0,'Teacher A'!N5&lt;6,'Teacher B'!N5=0),LOWER($M$2),IF(AND('Teacher B'!N5&lt;6,'Teacher B'!N5&gt;0,'Teacher A'!N5=0),LOWER($M$3),IF(AND('Teacher A'!N5+'Teacher B'!N5&lt;8.5,'Teacher A'!N5+'Teacher B'!N5&gt;0),"Both","Error"))))))</f>
        <v/>
      </c>
      <c r="O6" s="154"/>
      <c r="P6" s="306" t="s">
        <v>8</v>
      </c>
      <c r="Q6" s="150" t="str">
        <f>IF('Teacher A'!Q5+'Teacher B'!Q5=0,"",IF(AND('Teacher A'!Q5&gt;6,'Teacher B'!Q5=0),UPPER($M$2),IF(AND('Teacher B'!Q5&gt;6,'Teacher A'!Q5=0),UPPER($M$3),IF(AND('Teacher A'!Q5&gt;0,'Teacher A'!Q5&lt;6,'Teacher B'!Q5=0),LOWER($M$2),IF(AND('Teacher B'!Q5&lt;6,'Teacher B'!Q5&gt;0,'Teacher A'!Q5=0),LOWER($M$3),IF(AND('Teacher A'!Q5+'Teacher B'!Q5&lt;8.5,'Teacher A'!Q5+'Teacher B'!Q5&gt;0),"Both","Error"))))))</f>
        <v/>
      </c>
      <c r="R6" s="151" t="str">
        <f>IF('Teacher A'!R5+'Teacher B'!R5=0,"",IF(AND('Teacher A'!R5&gt;6,'Teacher B'!R5=0),UPPER($M$2),IF(AND('Teacher B'!R5&gt;6,'Teacher A'!R5=0),UPPER($M$3),IF(AND('Teacher A'!R5&gt;0,'Teacher A'!R5&lt;6,'Teacher B'!R5=0),LOWER($M$2),IF(AND('Teacher B'!R5&lt;6,'Teacher B'!R5&gt;0,'Teacher A'!R5=0),LOWER($M$3),IF(AND('Teacher A'!R5+'Teacher B'!R5&lt;8.5,'Teacher A'!R5+'Teacher B'!R5&gt;0),"Both","Error"))))))</f>
        <v/>
      </c>
      <c r="S6" s="151" t="str">
        <f>IF('Teacher A'!S5+'Teacher B'!S5=0,"",IF(AND('Teacher A'!S5&gt;6,'Teacher B'!S5=0),UPPER($M$2),IF(AND('Teacher B'!S5&gt;6,'Teacher A'!S5=0),UPPER($M$3),IF(AND('Teacher A'!S5&gt;0,'Teacher A'!S5&lt;6,'Teacher B'!S5=0),LOWER($M$2),IF(AND('Teacher B'!S5&lt;6,'Teacher B'!S5&gt;0,'Teacher A'!S5=0),LOWER($M$3),IF(AND('Teacher A'!S5+'Teacher B'!S5&lt;8.5,'Teacher A'!S5+'Teacher B'!S5&gt;0),"Both","Error"))))))</f>
        <v/>
      </c>
      <c r="T6" s="151" t="str">
        <f>IF('Teacher A'!T5+'Teacher B'!T5=0,"",IF(AND('Teacher A'!T5&gt;6,'Teacher B'!T5=0),UPPER($M$2),IF(AND('Teacher B'!T5&gt;6,'Teacher A'!T5=0),UPPER($M$3),IF(AND('Teacher A'!T5&gt;0,'Teacher A'!T5&lt;6,'Teacher B'!T5=0),LOWER($M$2),IF(AND('Teacher B'!T5&lt;6,'Teacher B'!T5&gt;0,'Teacher A'!T5=0),LOWER($M$3),IF(AND('Teacher A'!T5+'Teacher B'!T5&lt;8.5,'Teacher A'!T5+'Teacher B'!T5&gt;0),"Both","Error"))))))</f>
        <v/>
      </c>
      <c r="U6" s="152" t="str">
        <f>IF('Teacher A'!U5+'Teacher B'!U5=0,"",IF(AND('Teacher A'!U5&gt;6,'Teacher B'!U5=0),UPPER($M$2),IF(AND('Teacher B'!U5&gt;6,'Teacher A'!U5=0),UPPER($M$3),IF(AND('Teacher A'!U5&gt;0,'Teacher A'!U5&lt;6,'Teacher B'!U5=0),LOWER($M$2),IF(AND('Teacher B'!U5&lt;6,'Teacher B'!U5&gt;0,'Teacher A'!U5=0),LOWER($M$3),IF(AND('Teacher A'!U5+'Teacher B'!U5&lt;8.5,'Teacher A'!U5+'Teacher B'!U5&gt;0),"Both","Error"))))))</f>
        <v/>
      </c>
      <c r="V6" s="154"/>
      <c r="W6" s="309" t="s">
        <v>9</v>
      </c>
      <c r="X6" s="150" t="str">
        <f>IF('Teacher A'!X5+'Teacher B'!X5=0,"",IF(AND('Teacher A'!X5&gt;6,'Teacher B'!X5=0),UPPER($M$2),IF(AND('Teacher B'!X5&gt;6,'Teacher A'!X5=0),UPPER($M$3),IF(AND('Teacher A'!X5&gt;0,'Teacher A'!X5&lt;6,'Teacher B'!X5=0),LOWER($M$2),IF(AND('Teacher B'!X5&lt;6,'Teacher B'!X5&gt;0,'Teacher A'!X5=0),LOWER($M$3),IF(AND('Teacher A'!X5+'Teacher B'!X5&lt;8.5,'Teacher A'!X5+'Teacher B'!X5&gt;0),"Both","Error"))))))</f>
        <v/>
      </c>
      <c r="Y6" s="151" t="str">
        <f>IF('Teacher A'!Y5+'Teacher B'!Y5=0,"",IF(AND('Teacher A'!Y5&gt;6,'Teacher B'!Y5=0),UPPER($M$2),IF(AND('Teacher B'!Y5&gt;6,'Teacher A'!Y5=0),UPPER($M$3),IF(AND('Teacher A'!Y5&gt;0,'Teacher A'!Y5&lt;6,'Teacher B'!Y5=0),LOWER($M$2),IF(AND('Teacher B'!Y5&lt;6,'Teacher B'!Y5&gt;0,'Teacher A'!Y5=0),LOWER($M$3),IF(AND('Teacher A'!Y5+'Teacher B'!Y5&lt;8.5,'Teacher A'!Y5+'Teacher B'!Y5&gt;0),"Both","Error"))))))</f>
        <v/>
      </c>
      <c r="Z6" s="151" t="str">
        <f>IF('Teacher A'!Z5+'Teacher B'!Z5=0,"",IF(AND('Teacher A'!Z5&gt;6,'Teacher B'!Z5=0),UPPER($M$2),IF(AND('Teacher B'!Z5&gt;6,'Teacher A'!Z5=0),UPPER($M$3),IF(AND('Teacher A'!Z5&gt;0,'Teacher A'!Z5&lt;6,'Teacher B'!Z5=0),LOWER($M$2),IF(AND('Teacher B'!Z5&lt;6,'Teacher B'!Z5&gt;0,'Teacher A'!Z5=0),LOWER($M$3),IF(AND('Teacher A'!Z5+'Teacher B'!Z5&lt;8.5,'Teacher A'!Z5+'Teacher B'!Z5&gt;0),"Both","Error"))))))</f>
        <v/>
      </c>
      <c r="AA6" s="151" t="str">
        <f>IF('Teacher A'!AA5+'Teacher B'!AA5=0,"",IF(AND('Teacher A'!AA5&gt;6,'Teacher B'!AA5=0),UPPER($M$2),IF(AND('Teacher B'!AA5&gt;6,'Teacher A'!AA5=0),UPPER($M$3),IF(AND('Teacher A'!AA5&gt;0,'Teacher A'!AA5&lt;6,'Teacher B'!AA5=0),LOWER($M$2),IF(AND('Teacher B'!AA5&lt;6,'Teacher B'!AA5&gt;0,'Teacher A'!AA5=0),LOWER($M$3),IF(AND('Teacher A'!AA5+'Teacher B'!AA5&lt;8.5,'Teacher A'!AA5+'Teacher B'!AA5&gt;0),"Both","Error"))))))</f>
        <v/>
      </c>
      <c r="AB6" s="152" t="str">
        <f>IF('Teacher A'!AB5+'Teacher B'!AB5=0,"",IF(AND('Teacher A'!AB5&gt;6,'Teacher B'!AB5=0),UPPER($M$2),IF(AND('Teacher B'!AB5&gt;6,'Teacher A'!AB5=0),UPPER($M$3),IF(AND('Teacher A'!AB5&gt;0,'Teacher A'!AB5&lt;6,'Teacher B'!AB5=0),LOWER($M$2),IF(AND('Teacher B'!AB5&lt;6,'Teacher B'!AB5&gt;0,'Teacher A'!AB5=0),LOWER($M$3),IF(AND('Teacher A'!AB5+'Teacher B'!AB5&lt;8.5,'Teacher A'!AB5+'Teacher B'!AB5&gt;0),"Both","Error"))))))</f>
        <v/>
      </c>
      <c r="AC6" s="42"/>
    </row>
    <row r="7" spans="1:34" x14ac:dyDescent="0.25">
      <c r="A7" s="12"/>
      <c r="B7" s="293"/>
      <c r="C7" s="88">
        <f>IF(AND(YEAR(July1OffSet+2)=BegCalYear,MONTH(July1OffSet+2)=7),July1OffSet+2,"")</f>
        <v>45474</v>
      </c>
      <c r="D7" s="197">
        <f>IF(AND(YEAR(July1OffSet+3)=BegCalYear,MONTH(July1OffSet+3)=7),July1OffSet+3,"")</f>
        <v>45475</v>
      </c>
      <c r="E7" s="197">
        <f>IF(AND(YEAR(July1OffSet+4)=BegCalYear,MONTH(July1OffSet+4)=7),July1OffSet+4,"")</f>
        <v>45476</v>
      </c>
      <c r="F7" s="197">
        <f>IF(AND(YEAR(July1OffSet+5)=BegCalYear,MONTH(July1OffSet+5)=7),July1OffSet+5,"")</f>
        <v>45477</v>
      </c>
      <c r="G7" s="198">
        <f>IF(AND(YEAR(July1OffSet+6)=BegCalYear,MONTH(July1OffSet+6)=7),July1OffSet+6,"")</f>
        <v>45478</v>
      </c>
      <c r="H7" s="155"/>
      <c r="I7" s="310"/>
      <c r="J7" s="88" t="str">
        <f>IF(AND(YEAR(OctOffSet+2)=BegCalYear,MONTH(OctOffSet+2)=10),OctOffSet+2,"")</f>
        <v/>
      </c>
      <c r="K7" s="197">
        <f>IF(AND(YEAR(OctOffSet+3)=BegCalYear,MONTH(OctOffSet+3)=10),OctOffSet+3,"")</f>
        <v>45566</v>
      </c>
      <c r="L7" s="197">
        <f>IF(AND(YEAR(OctOffSet+4)=BegCalYear,MONTH(OctOffSet+4)=10),OctOffSet+4,"")</f>
        <v>45567</v>
      </c>
      <c r="M7" s="197">
        <f>IF(AND(YEAR(OctOffSet+5)=BegCalYear,MONTH(OctOffSet+5)=10),OctOffSet+5,"")</f>
        <v>45568</v>
      </c>
      <c r="N7" s="198">
        <f>IF(AND(YEAR(OctOffSet+6)=BegCalYear,MONTH(OctOffSet+6)=10),OctOffSet+6,"")</f>
        <v>45569</v>
      </c>
      <c r="O7" s="154"/>
      <c r="P7" s="307"/>
      <c r="Q7" s="88" t="str">
        <f>IF(AND(YEAR(JanOffSet+2)=CalendarYear,MONTH(JanOffSet+2)=1),JanOffSet+2,"")</f>
        <v/>
      </c>
      <c r="R7" s="197" t="str">
        <f>IF(AND(YEAR(JanOffSet+3)=CalendarYear,MONTH(JanOffSet+3)=1),JanOffSet+3,"")</f>
        <v/>
      </c>
      <c r="S7" s="197">
        <f>IF(AND(YEAR(JanOffSet+4)=CalendarYear,MONTH(JanOffSet+4)=1),JanOffSet+4,"")</f>
        <v>45658</v>
      </c>
      <c r="T7" s="197">
        <f>IF(AND(YEAR(JanOffSet+5)=CalendarYear,MONTH(JanOffSet+5)=1),JanOffSet+5,"")</f>
        <v>45659</v>
      </c>
      <c r="U7" s="198">
        <f>IF(AND(YEAR(JanOffSet+6)=CalendarYear,MONTH(JanOffSet+6)=1),JanOffSet+6,"")</f>
        <v>45660</v>
      </c>
      <c r="V7" s="154"/>
      <c r="W7" s="310"/>
      <c r="X7" s="88" t="str">
        <f>IF(AND(YEAR(AprOffSet+2)=CalendarYear,MONTH(AprOffSet+2)=4),AprOffSet+2,"")</f>
        <v/>
      </c>
      <c r="Y7" s="197">
        <f>IF(AND(YEAR(AprOffSet+3)=CalendarYear,MONTH(AprOffSet+3)=4),AprOffSet+3,"")</f>
        <v>45748</v>
      </c>
      <c r="Z7" s="197">
        <f>IF(AND(YEAR(AprOffSet+4)=CalendarYear,MONTH(AprOffSet+4)=4),AprOffSet+4,"")</f>
        <v>45749</v>
      </c>
      <c r="AA7" s="197">
        <f>IF(AND(YEAR(AprOffSet+5)=CalendarYear,MONTH(AprOffSet+5)=4),AprOffSet+5,"")</f>
        <v>45750</v>
      </c>
      <c r="AB7" s="198">
        <f>IF(AND(YEAR(AprOffSet+6)=CalendarYear,MONTH(AprOffSet+6)=4),AprOffSet+6,"")</f>
        <v>45751</v>
      </c>
      <c r="AC7" s="42"/>
    </row>
    <row r="8" spans="1:34" x14ac:dyDescent="0.25">
      <c r="A8" s="26"/>
      <c r="B8" s="293"/>
      <c r="C8" s="156" t="str">
        <f>IF('Teacher A'!C7+'Teacher B'!C7=0,"",IF(AND('Teacher A'!C7&gt;6,'Teacher B'!C7=0),UPPER($M$2),IF(AND('Teacher B'!C7&gt;6,'Teacher A'!C7=0),UPPER($M$3),IF(AND('Teacher A'!C7&gt;0,'Teacher A'!C7&lt;6,'Teacher B'!C7=0),LOWER($M$2),IF(AND('Teacher B'!C7&lt;6,'Teacher B'!C7&gt;0,'Teacher A'!C7=0),LOWER($M$3),IF(AND('Teacher A'!C7+'Teacher B'!C7&lt;8.5,'Teacher A'!C7+'Teacher B'!C7&gt;0),"Both","Error"))))))</f>
        <v/>
      </c>
      <c r="D8" s="157" t="str">
        <f>IF('Teacher A'!D7+'Teacher B'!D7=0,"",IF(AND('Teacher A'!D7&gt;6,'Teacher B'!D7=0),UPPER($M$2),IF(AND('Teacher B'!D7&gt;6,'Teacher A'!D7=0),UPPER($M$3),IF(AND('Teacher A'!D7&gt;0,'Teacher A'!D7&lt;6,'Teacher B'!D7=0),LOWER($M$2),IF(AND('Teacher B'!D7&lt;6,'Teacher B'!D7&gt;0,'Teacher A'!D7=0),LOWER($M$3),IF(AND('Teacher A'!D7+'Teacher B'!D7&lt;8.5,'Teacher A'!D7+'Teacher B'!D7&gt;0),"Both","Error"))))))</f>
        <v/>
      </c>
      <c r="E8" s="157" t="str">
        <f>IF('Teacher A'!E7+'Teacher B'!E7=0,"",IF(AND('Teacher A'!E7&gt;6,'Teacher B'!E7=0),UPPER($M$2),IF(AND('Teacher B'!E7&gt;6,'Teacher A'!E7=0),UPPER($M$3),IF(AND('Teacher A'!E7&gt;0,'Teacher A'!E7&lt;6,'Teacher B'!E7=0),LOWER($M$2),IF(AND('Teacher B'!E7&lt;6,'Teacher B'!E7&gt;0,'Teacher A'!E7=0),LOWER($M$3),IF(AND('Teacher A'!E7+'Teacher B'!E7&lt;8.5,'Teacher A'!E7+'Teacher B'!E7&gt;0),"Both","Error"))))))</f>
        <v/>
      </c>
      <c r="F8" s="157" t="str">
        <f>IF('Teacher A'!F7+'Teacher B'!F7=0,"",IF(AND('Teacher A'!F7&gt;6,'Teacher B'!F7=0),UPPER($M$2),IF(AND('Teacher B'!F7&gt;6,'Teacher A'!F7=0),UPPER($M$3),IF(AND('Teacher A'!F7&gt;0,'Teacher A'!F7&lt;6,'Teacher B'!F7=0),LOWER($M$2),IF(AND('Teacher B'!F7&lt;6,'Teacher B'!F7&gt;0,'Teacher A'!F7=0),LOWER($M$3),IF(AND('Teacher A'!F7+'Teacher B'!F7&lt;8.5,'Teacher A'!F7+'Teacher B'!F7&gt;0),"Both","Error"))))))</f>
        <v/>
      </c>
      <c r="G8" s="158" t="str">
        <f>IF('Teacher A'!G7+'Teacher B'!G7=0,"",IF(AND('Teacher A'!G7&gt;6,'Teacher B'!G7=0),UPPER($M$2),IF(AND('Teacher B'!G7&gt;6,'Teacher A'!G7=0),UPPER($M$3),IF(AND('Teacher A'!G7&gt;0,'Teacher A'!G7&lt;6,'Teacher B'!G7=0),LOWER($M$2),IF(AND('Teacher B'!G7&lt;6,'Teacher B'!G7&gt;0,'Teacher A'!G7=0),LOWER($M$3),IF(AND('Teacher A'!G7+'Teacher B'!G7&lt;8.5,'Teacher A'!G7+'Teacher B'!G7&gt;0),"Both","Error"))))))</f>
        <v/>
      </c>
      <c r="H8" s="155"/>
      <c r="I8" s="310"/>
      <c r="J8" s="156" t="str">
        <f>IF('Teacher A'!J7+'Teacher B'!J7=0,"",IF(AND('Teacher A'!J7&gt;6,'Teacher B'!J7=0),UPPER($M$2),IF(AND('Teacher B'!J7&gt;6,'Teacher A'!J7=0),UPPER($M$3),IF(AND('Teacher A'!J7&gt;0,'Teacher A'!J7&lt;6,'Teacher B'!J7=0),LOWER($M$2),IF(AND('Teacher B'!J7&lt;6,'Teacher B'!J7&gt;0,'Teacher A'!J7=0),LOWER($M$3),IF(AND('Teacher A'!J7+'Teacher B'!J7&lt;8.5,'Teacher A'!J7+'Teacher B'!J7&gt;0),"Both","Error"))))))</f>
        <v/>
      </c>
      <c r="K8" s="157" t="str">
        <f>IF('Teacher A'!K7+'Teacher B'!K7=0,"",IF(AND('Teacher A'!K7&gt;6,'Teacher B'!K7=0),UPPER($M$2),IF(AND('Teacher B'!K7&gt;6,'Teacher A'!K7=0),UPPER($M$3),IF(AND('Teacher A'!K7&gt;0,'Teacher A'!K7&lt;6,'Teacher B'!K7=0),LOWER($M$2),IF(AND('Teacher B'!K7&lt;6,'Teacher B'!K7&gt;0,'Teacher A'!K7=0),LOWER($M$3),IF(AND('Teacher A'!K7+'Teacher B'!K7&lt;8.5,'Teacher A'!K7+'Teacher B'!K7&gt;0),"Both","Error"))))))</f>
        <v/>
      </c>
      <c r="L8" s="157" t="str">
        <f>IF('Teacher A'!L7+'Teacher B'!L7=0,"",IF(AND('Teacher A'!L7&gt;6,'Teacher B'!L7=0),UPPER($M$2),IF(AND('Teacher B'!L7&gt;6,'Teacher A'!L7=0),UPPER($M$3),IF(AND('Teacher A'!L7&gt;0,'Teacher A'!L7&lt;6,'Teacher B'!L7=0),LOWER($M$2),IF(AND('Teacher B'!L7&lt;6,'Teacher B'!L7&gt;0,'Teacher A'!L7=0),LOWER($M$3),IF(AND('Teacher A'!L7+'Teacher B'!L7&lt;8.5,'Teacher A'!L7+'Teacher B'!L7&gt;0),"Both","Error"))))))</f>
        <v/>
      </c>
      <c r="M8" s="157" t="str">
        <f>IF('Teacher A'!M7+'Teacher B'!M7=0,"",IF(AND('Teacher A'!M7&gt;6,'Teacher B'!M7=0),UPPER($M$2),IF(AND('Teacher B'!M7&gt;6,'Teacher A'!M7=0),UPPER($M$3),IF(AND('Teacher A'!M7&gt;0,'Teacher A'!M7&lt;6,'Teacher B'!M7=0),LOWER($M$2),IF(AND('Teacher B'!M7&lt;6,'Teacher B'!M7&gt;0,'Teacher A'!M7=0),LOWER($M$3),IF(AND('Teacher A'!M7+'Teacher B'!M7&lt;8.5,'Teacher A'!M7+'Teacher B'!M7&gt;0),"Both","Error"))))))</f>
        <v/>
      </c>
      <c r="N8" s="158" t="str">
        <f>IF('Teacher A'!N7+'Teacher B'!N7=0,"",IF(AND('Teacher A'!N7&gt;6,'Teacher B'!N7=0),UPPER($M$2),IF(AND('Teacher B'!N7&gt;6,'Teacher A'!N7=0),UPPER($M$3),IF(AND('Teacher A'!N7&gt;0,'Teacher A'!N7&lt;6,'Teacher B'!N7=0),LOWER($M$2),IF(AND('Teacher B'!N7&lt;6,'Teacher B'!N7&gt;0,'Teacher A'!N7=0),LOWER($M$3),IF(AND('Teacher A'!N7+'Teacher B'!N7&lt;8.5,'Teacher A'!N7+'Teacher B'!N7&gt;0),"Both","Error"))))))</f>
        <v/>
      </c>
      <c r="O8" s="154"/>
      <c r="P8" s="307"/>
      <c r="Q8" s="156" t="str">
        <f>IF('Teacher A'!Q7+'Teacher B'!Q7=0,"",IF(AND('Teacher A'!Q7&gt;6,'Teacher B'!Q7=0),UPPER($M$2),IF(AND('Teacher B'!Q7&gt;6,'Teacher A'!Q7=0),UPPER($M$3),IF(AND('Teacher A'!Q7&gt;0,'Teacher A'!Q7&lt;6,'Teacher B'!Q7=0),LOWER($M$2),IF(AND('Teacher B'!Q7&lt;6,'Teacher B'!Q7&gt;0,'Teacher A'!Q7=0),LOWER($M$3),IF(AND('Teacher A'!Q7+'Teacher B'!Q7&lt;8.5,'Teacher A'!Q7+'Teacher B'!Q7&gt;0),"Both","Error"))))))</f>
        <v/>
      </c>
      <c r="R8" s="157" t="str">
        <f>IF('Teacher A'!R7+'Teacher B'!R7=0,"",IF(AND('Teacher A'!R7&gt;6,'Teacher B'!R7=0),UPPER($M$2),IF(AND('Teacher B'!R7&gt;6,'Teacher A'!R7=0),UPPER($M$3),IF(AND('Teacher A'!R7&gt;0,'Teacher A'!R7&lt;6,'Teacher B'!R7=0),LOWER($M$2),IF(AND('Teacher B'!R7&lt;6,'Teacher B'!R7&gt;0,'Teacher A'!R7=0),LOWER($M$3),IF(AND('Teacher A'!R7+'Teacher B'!R7&lt;8.5,'Teacher A'!R7+'Teacher B'!R7&gt;0),"Both","Error"))))))</f>
        <v/>
      </c>
      <c r="S8" s="157" t="str">
        <f>IF('Teacher A'!S7+'Teacher B'!S7=0,"",IF(AND('Teacher A'!S7&gt;6,'Teacher B'!S7=0),UPPER($M$2),IF(AND('Teacher B'!S7&gt;6,'Teacher A'!S7=0),UPPER($M$3),IF(AND('Teacher A'!S7&gt;0,'Teacher A'!S7&lt;6,'Teacher B'!S7=0),LOWER($M$2),IF(AND('Teacher B'!S7&lt;6,'Teacher B'!S7&gt;0,'Teacher A'!S7=0),LOWER($M$3),IF(AND('Teacher A'!S7+'Teacher B'!S7&lt;8.5,'Teacher A'!S7+'Teacher B'!S7&gt;0),"Both","Error"))))))</f>
        <v/>
      </c>
      <c r="T8" s="157" t="str">
        <f>IF('Teacher A'!T7+'Teacher B'!T7=0,"",IF(AND('Teacher A'!T7&gt;6,'Teacher B'!T7=0),UPPER($M$2),IF(AND('Teacher B'!T7&gt;6,'Teacher A'!T7=0),UPPER($M$3),IF(AND('Teacher A'!T7&gt;0,'Teacher A'!T7&lt;6,'Teacher B'!T7=0),LOWER($M$2),IF(AND('Teacher B'!T7&lt;6,'Teacher B'!T7&gt;0,'Teacher A'!T7=0),LOWER($M$3),IF(AND('Teacher A'!T7+'Teacher B'!T7&lt;8.5,'Teacher A'!T7+'Teacher B'!T7&gt;0),"Both","Error"))))))</f>
        <v/>
      </c>
      <c r="U8" s="158" t="str">
        <f>IF('Teacher A'!U7+'Teacher B'!U7=0,"",IF(AND('Teacher A'!U7&gt;6,'Teacher B'!U7=0),UPPER($M$2),IF(AND('Teacher B'!U7&gt;6,'Teacher A'!U7=0),UPPER($M$3),IF(AND('Teacher A'!U7&gt;0,'Teacher A'!U7&lt;6,'Teacher B'!U7=0),LOWER($M$2),IF(AND('Teacher B'!U7&lt;6,'Teacher B'!U7&gt;0,'Teacher A'!U7=0),LOWER($M$3),IF(AND('Teacher A'!U7+'Teacher B'!U7&lt;8.5,'Teacher A'!U7+'Teacher B'!U7&gt;0),"Both","Error"))))))</f>
        <v/>
      </c>
      <c r="V8" s="154"/>
      <c r="W8" s="310"/>
      <c r="X8" s="156" t="str">
        <f>IF('Teacher A'!X7+'Teacher B'!X7=0,"",IF(AND('Teacher A'!X7&gt;6,'Teacher B'!X7=0),UPPER($M$2),IF(AND('Teacher B'!X7&gt;6,'Teacher A'!X7=0),UPPER($M$3),IF(AND('Teacher A'!X7&gt;0,'Teacher A'!X7&lt;6,'Teacher B'!X7=0),LOWER($M$2),IF(AND('Teacher B'!X7&lt;6,'Teacher B'!X7&gt;0,'Teacher A'!X7=0),LOWER($M$3),IF(AND('Teacher A'!X7+'Teacher B'!X7&lt;8.5,'Teacher A'!X7+'Teacher B'!X7&gt;0),"Both","Error"))))))</f>
        <v/>
      </c>
      <c r="Y8" s="157" t="str">
        <f>IF('Teacher A'!Y7+'Teacher B'!Y7=0,"",IF(AND('Teacher A'!Y7&gt;6,'Teacher B'!Y7=0),UPPER($M$2),IF(AND('Teacher B'!Y7&gt;6,'Teacher A'!Y7=0),UPPER($M$3),IF(AND('Teacher A'!Y7&gt;0,'Teacher A'!Y7&lt;6,'Teacher B'!Y7=0),LOWER($M$2),IF(AND('Teacher B'!Y7&lt;6,'Teacher B'!Y7&gt;0,'Teacher A'!Y7=0),LOWER($M$3),IF(AND('Teacher A'!Y7+'Teacher B'!Y7&lt;8.5,'Teacher A'!Y7+'Teacher B'!Y7&gt;0),"Both","Error"))))))</f>
        <v/>
      </c>
      <c r="Z8" s="157" t="str">
        <f>IF('Teacher A'!Z7+'Teacher B'!Z7=0,"",IF(AND('Teacher A'!Z7&gt;6,'Teacher B'!Z7=0),UPPER($M$2),IF(AND('Teacher B'!Z7&gt;6,'Teacher A'!Z7=0),UPPER($M$3),IF(AND('Teacher A'!Z7&gt;0,'Teacher A'!Z7&lt;6,'Teacher B'!Z7=0),LOWER($M$2),IF(AND('Teacher B'!Z7&lt;6,'Teacher B'!Z7&gt;0,'Teacher A'!Z7=0),LOWER($M$3),IF(AND('Teacher A'!Z7+'Teacher B'!Z7&lt;8.5,'Teacher A'!Z7+'Teacher B'!Z7&gt;0),"Both","Error"))))))</f>
        <v/>
      </c>
      <c r="AA8" s="157" t="str">
        <f>IF('Teacher A'!AA7+'Teacher B'!AA7=0,"",IF(AND('Teacher A'!AA7&gt;6,'Teacher B'!AA7=0),UPPER($M$2),IF(AND('Teacher B'!AA7&gt;6,'Teacher A'!AA7=0),UPPER($M$3),IF(AND('Teacher A'!AA7&gt;0,'Teacher A'!AA7&lt;6,'Teacher B'!AA7=0),LOWER($M$2),IF(AND('Teacher B'!AA7&lt;6,'Teacher B'!AA7&gt;0,'Teacher A'!AA7=0),LOWER($M$3),IF(AND('Teacher A'!AA7+'Teacher B'!AA7&lt;8.5,'Teacher A'!AA7+'Teacher B'!AA7&gt;0),"Both","Error"))))))</f>
        <v/>
      </c>
      <c r="AB8" s="158" t="str">
        <f>IF('Teacher A'!AB7+'Teacher B'!AB7=0,"",IF(AND('Teacher A'!AB7&gt;6,'Teacher B'!AB7=0),UPPER($M$2),IF(AND('Teacher B'!AB7&gt;6,'Teacher A'!AB7=0),UPPER($M$3),IF(AND('Teacher A'!AB7&gt;0,'Teacher A'!AB7&lt;6,'Teacher B'!AB7=0),LOWER($M$2),IF(AND('Teacher B'!AB7&lt;6,'Teacher B'!AB7&gt;0,'Teacher A'!AB7=0),LOWER($M$3),IF(AND('Teacher A'!AB7+'Teacher B'!AB7&lt;8.5,'Teacher A'!AB7+'Teacher B'!AB7&gt;0),"Both","Error"))))))</f>
        <v/>
      </c>
      <c r="AC8" s="42"/>
    </row>
    <row r="9" spans="1:34" x14ac:dyDescent="0.25">
      <c r="A9" s="26"/>
      <c r="B9" s="293"/>
      <c r="C9" s="88">
        <f>IF(AND(YEAR(July1OffSet+9)=BegCalYear,MONTH(July1OffSet+9)=7),July1OffSet+9,"")</f>
        <v>45481</v>
      </c>
      <c r="D9" s="197">
        <f>IF(AND(YEAR(July1OffSet+10)=BegCalYear,MONTH(July1OffSet+10)=7),July1OffSet+10,"")</f>
        <v>45482</v>
      </c>
      <c r="E9" s="197">
        <f>IF(AND(YEAR(July1OffSet+11)=BegCalYear,MONTH(July1OffSet+11)=7),July1OffSet+11,"")</f>
        <v>45483</v>
      </c>
      <c r="F9" s="197">
        <f>IF(AND(YEAR(July1OffSet+12)=BegCalYear,MONTH(July1OffSet+12)=7),July1OffSet+12,"")</f>
        <v>45484</v>
      </c>
      <c r="G9" s="198">
        <f>IF(AND(YEAR(July1OffSet+13)=BegCalYear,MONTH(July1OffSet+13)=7),July1OffSet+13,"")</f>
        <v>45485</v>
      </c>
      <c r="H9" s="155"/>
      <c r="I9" s="310"/>
      <c r="J9" s="88">
        <f>IF(AND(YEAR(OctOffSet+9)=BegCalYear,MONTH(OctOffSet+9)=10),OctOffSet+9,"")</f>
        <v>45572</v>
      </c>
      <c r="K9" s="197">
        <f>IF(AND(YEAR(OctOffSet+10)=BegCalYear,MONTH(OctOffSet+10)=10),OctOffSet+10,"")</f>
        <v>45573</v>
      </c>
      <c r="L9" s="197">
        <f>IF(AND(YEAR(OctOffSet+11)=BegCalYear,MONTH(OctOffSet+11)=10),OctOffSet+11,"")</f>
        <v>45574</v>
      </c>
      <c r="M9" s="197">
        <f>IF(AND(YEAR(OctOffSet+12)=BegCalYear,MONTH(OctOffSet+12)=10),OctOffSet+12,"")</f>
        <v>45575</v>
      </c>
      <c r="N9" s="198">
        <f>IF(AND(YEAR(OctOffSet+13)=BegCalYear,MONTH(OctOffSet+13)=10),OctOffSet+13,"")</f>
        <v>45576</v>
      </c>
      <c r="O9" s="154"/>
      <c r="P9" s="307"/>
      <c r="Q9" s="88">
        <f>IF(AND(YEAR(JanOffSet+9)=CalendarYear,MONTH(JanOffSet+9)=1),JanOffSet+9,"")</f>
        <v>45663</v>
      </c>
      <c r="R9" s="197">
        <f>IF(AND(YEAR(JanOffSet+10)=CalendarYear,MONTH(JanOffSet+10)=1),JanOffSet+10,"")</f>
        <v>45664</v>
      </c>
      <c r="S9" s="197">
        <f>IF(AND(YEAR(JanOffSet+11)=CalendarYear,MONTH(JanOffSet+11)=1),JanOffSet+11,"")</f>
        <v>45665</v>
      </c>
      <c r="T9" s="197">
        <f>IF(AND(YEAR(JanOffSet+12)=CalendarYear,MONTH(JanOffSet+12)=1),JanOffSet+12,"")</f>
        <v>45666</v>
      </c>
      <c r="U9" s="198">
        <f>IF(AND(YEAR(JanOffSet+13)=CalendarYear,MONTH(JanOffSet+13)=1),JanOffSet+13,"")</f>
        <v>45667</v>
      </c>
      <c r="V9" s="154"/>
      <c r="W9" s="310"/>
      <c r="X9" s="88">
        <f>IF(AND(YEAR(AprOffSet+9)=CalendarYear,MONTH(AprOffSet+9)=4),AprOffSet+9,"")</f>
        <v>45754</v>
      </c>
      <c r="Y9" s="197">
        <f>IF(AND(YEAR(AprOffSet+10)=CalendarYear,MONTH(AprOffSet+10)=4),AprOffSet+10,"")</f>
        <v>45755</v>
      </c>
      <c r="Z9" s="197">
        <f>IF(AND(YEAR(AprOffSet+11)=CalendarYear,MONTH(AprOffSet+11)=4),AprOffSet+11,"")</f>
        <v>45756</v>
      </c>
      <c r="AA9" s="197">
        <f>IF(AND(YEAR(AprOffSet+12)=CalendarYear,MONTH(AprOffSet+12)=4),AprOffSet+12,"")</f>
        <v>45757</v>
      </c>
      <c r="AB9" s="198">
        <f>IF(AND(YEAR(AprOffSet+13)=CalendarYear,MONTH(AprOffSet+13)=4),AprOffSet+13,"")</f>
        <v>45758</v>
      </c>
      <c r="AC9" s="42"/>
      <c r="AE9" s="1"/>
      <c r="AF9" s="1"/>
      <c r="AG9" s="1"/>
      <c r="AH9" s="1"/>
    </row>
    <row r="10" spans="1:34" ht="15" customHeight="1" x14ac:dyDescent="0.25">
      <c r="A10" s="25"/>
      <c r="B10" s="293"/>
      <c r="C10" s="156" t="str">
        <f>IF('Teacher A'!C9+'Teacher B'!C9=0,"",IF(AND('Teacher A'!C9&gt;6,'Teacher B'!C9=0),UPPER($M$2),IF(AND('Teacher B'!C9&gt;6,'Teacher A'!C9=0),UPPER($M$3),IF(AND('Teacher A'!C9&gt;0,'Teacher A'!C9&lt;6,'Teacher B'!C9=0),LOWER($M$2),IF(AND('Teacher B'!C9&lt;6,'Teacher B'!C9&gt;0,'Teacher A'!C9=0),LOWER($M$3),IF(AND('Teacher A'!C9+'Teacher B'!C9&lt;8.5,'Teacher A'!C9+'Teacher B'!C9&gt;0),"Both","Error"))))))</f>
        <v/>
      </c>
      <c r="D10" s="157" t="str">
        <f>IF('Teacher A'!D9+'Teacher B'!D9=0,"",IF(AND('Teacher A'!D9&gt;6,'Teacher B'!D9=0),UPPER($M$2),IF(AND('Teacher B'!D9&gt;6,'Teacher A'!D9=0),UPPER($M$3),IF(AND('Teacher A'!D9&gt;0,'Teacher A'!D9&lt;6,'Teacher B'!D9=0),LOWER($M$2),IF(AND('Teacher B'!D9&lt;6,'Teacher B'!D9&gt;0,'Teacher A'!D9=0),LOWER($M$3),IF(AND('Teacher A'!D9+'Teacher B'!D9&lt;8.5,'Teacher A'!D9+'Teacher B'!D9&gt;0),"Both","Error"))))))</f>
        <v/>
      </c>
      <c r="E10" s="157" t="str">
        <f>IF('Teacher A'!E9+'Teacher B'!E9=0,"",IF(AND('Teacher A'!E9&gt;6,'Teacher B'!E9=0),UPPER($M$2),IF(AND('Teacher B'!E9&gt;6,'Teacher A'!E9=0),UPPER($M$3),IF(AND('Teacher A'!E9&gt;0,'Teacher A'!E9&lt;6,'Teacher B'!E9=0),LOWER($M$2),IF(AND('Teacher B'!E9&lt;6,'Teacher B'!E9&gt;0,'Teacher A'!E9=0),LOWER($M$3),IF(AND('Teacher A'!E9+'Teacher B'!E9&lt;8.5,'Teacher A'!E9+'Teacher B'!E9&gt;0),"Both","Error"))))))</f>
        <v/>
      </c>
      <c r="F10" s="157" t="str">
        <f>IF('Teacher A'!F9+'Teacher B'!F9=0,"",IF(AND('Teacher A'!F9&gt;6,'Teacher B'!F9=0),UPPER($M$2),IF(AND('Teacher B'!F9&gt;6,'Teacher A'!F9=0),UPPER($M$3),IF(AND('Teacher A'!F9&gt;0,'Teacher A'!F9&lt;6,'Teacher B'!F9=0),LOWER($M$2),IF(AND('Teacher B'!F9&lt;6,'Teacher B'!F9&gt;0,'Teacher A'!F9=0),LOWER($M$3),IF(AND('Teacher A'!F9+'Teacher B'!F9&lt;8.5,'Teacher A'!F9+'Teacher B'!F9&gt;0),"Both","Error"))))))</f>
        <v/>
      </c>
      <c r="G10" s="158" t="str">
        <f>IF('Teacher A'!G9+'Teacher B'!G9=0,"",IF(AND('Teacher A'!G9&gt;6,'Teacher B'!G9=0),UPPER($M$2),IF(AND('Teacher B'!G9&gt;6,'Teacher A'!G9=0),UPPER($M$3),IF(AND('Teacher A'!G9&gt;0,'Teacher A'!G9&lt;6,'Teacher B'!G9=0),LOWER($M$2),IF(AND('Teacher B'!G9&lt;6,'Teacher B'!G9&gt;0,'Teacher A'!G9=0),LOWER($M$3),IF(AND('Teacher A'!G9+'Teacher B'!G9&lt;8.5,'Teacher A'!G9+'Teacher B'!G9&gt;0),"Both","Error"))))))</f>
        <v/>
      </c>
      <c r="H10" s="155"/>
      <c r="I10" s="310"/>
      <c r="J10" s="156" t="str">
        <f>IF('Teacher A'!J9+'Teacher B'!J9=0,"",IF(AND('Teacher A'!J9&gt;6,'Teacher B'!J9=0),UPPER($M$2),IF(AND('Teacher B'!J9&gt;6,'Teacher A'!J9=0),UPPER($M$3),IF(AND('Teacher A'!J9&gt;0,'Teacher A'!J9&lt;6,'Teacher B'!J9=0),LOWER($M$2),IF(AND('Teacher B'!J9&lt;6,'Teacher B'!J9&gt;0,'Teacher A'!J9=0),LOWER($M$3),IF(AND('Teacher A'!J9+'Teacher B'!J9&lt;8.5,'Teacher A'!J9+'Teacher B'!J9&gt;0),"Both","Error"))))))</f>
        <v/>
      </c>
      <c r="K10" s="157" t="str">
        <f>IF('Teacher A'!K9+'Teacher B'!K9=0,"",IF(AND('Teacher A'!K9&gt;6,'Teacher B'!K9=0),UPPER($M$2),IF(AND('Teacher B'!K9&gt;6,'Teacher A'!K9=0),UPPER($M$3),IF(AND('Teacher A'!K9&gt;0,'Teacher A'!K9&lt;6,'Teacher B'!K9=0),LOWER($M$2),IF(AND('Teacher B'!K9&lt;6,'Teacher B'!K9&gt;0,'Teacher A'!K9=0),LOWER($M$3),IF(AND('Teacher A'!K9+'Teacher B'!K9&lt;8.5,'Teacher A'!K9+'Teacher B'!K9&gt;0),"Both","Error"))))))</f>
        <v/>
      </c>
      <c r="L10" s="157" t="str">
        <f>IF('Teacher A'!L9+'Teacher B'!L9=0,"",IF(AND('Teacher A'!L9&gt;6,'Teacher B'!L9=0),UPPER($M$2),IF(AND('Teacher B'!L9&gt;6,'Teacher A'!L9=0),UPPER($M$3),IF(AND('Teacher A'!L9&gt;0,'Teacher A'!L9&lt;6,'Teacher B'!L9=0),LOWER($M$2),IF(AND('Teacher B'!L9&lt;6,'Teacher B'!L9&gt;0,'Teacher A'!L9=0),LOWER($M$3),IF(AND('Teacher A'!L9+'Teacher B'!L9&lt;8.5,'Teacher A'!L9+'Teacher B'!L9&gt;0),"Both","Error"))))))</f>
        <v/>
      </c>
      <c r="M10" s="157" t="str">
        <f>IF('Teacher A'!M9+'Teacher B'!M9=0,"",IF(AND('Teacher A'!M9&gt;6,'Teacher B'!M9=0),UPPER($M$2),IF(AND('Teacher B'!M9&gt;6,'Teacher A'!M9=0),UPPER($M$3),IF(AND('Teacher A'!M9&gt;0,'Teacher A'!M9&lt;6,'Teacher B'!M9=0),LOWER($M$2),IF(AND('Teacher B'!M9&lt;6,'Teacher B'!M9&gt;0,'Teacher A'!M9=0),LOWER($M$3),IF(AND('Teacher A'!M9+'Teacher B'!M9&lt;8.5,'Teacher A'!M9+'Teacher B'!M9&gt;0),"Both","Error"))))))</f>
        <v/>
      </c>
      <c r="N10" s="158" t="str">
        <f>IF('Teacher A'!N9+'Teacher B'!N9=0,"",IF(AND('Teacher A'!N9&gt;6,'Teacher B'!N9=0),UPPER($M$2),IF(AND('Teacher B'!N9&gt;6,'Teacher A'!N9=0),UPPER($M$3),IF(AND('Teacher A'!N9&gt;0,'Teacher A'!N9&lt;6,'Teacher B'!N9=0),LOWER($M$2),IF(AND('Teacher B'!N9&lt;6,'Teacher B'!N9&gt;0,'Teacher A'!N9=0),LOWER($M$3),IF(AND('Teacher A'!N9+'Teacher B'!N9&lt;8.5,'Teacher A'!N9+'Teacher B'!N9&gt;0),"Both","Error"))))))</f>
        <v/>
      </c>
      <c r="O10" s="153"/>
      <c r="P10" s="307"/>
      <c r="Q10" s="156" t="str">
        <f>IF('Teacher A'!Q9+'Teacher B'!Q9=0,"",IF(AND('Teacher A'!Q9&gt;6,'Teacher B'!Q9=0),UPPER($M$2),IF(AND('Teacher B'!Q9&gt;6,'Teacher A'!Q9=0),UPPER($M$3),IF(AND('Teacher A'!Q9&gt;0,'Teacher A'!Q9&lt;6,'Teacher B'!Q9=0),LOWER($M$2),IF(AND('Teacher B'!Q9&lt;6,'Teacher B'!Q9&gt;0,'Teacher A'!Q9=0),LOWER($M$3),IF(AND('Teacher A'!Q9+'Teacher B'!Q9&lt;8.5,'Teacher A'!Q9+'Teacher B'!Q9&gt;0),"Both","Error"))))))</f>
        <v/>
      </c>
      <c r="R10" s="157" t="str">
        <f>IF('Teacher A'!R9+'Teacher B'!R9=0,"",IF(AND('Teacher A'!R9&gt;6,'Teacher B'!R9=0),UPPER($M$2),IF(AND('Teacher B'!R9&gt;6,'Teacher A'!R9=0),UPPER($M$3),IF(AND('Teacher A'!R9&gt;0,'Teacher A'!R9&lt;6,'Teacher B'!R9=0),LOWER($M$2),IF(AND('Teacher B'!R9&lt;6,'Teacher B'!R9&gt;0,'Teacher A'!R9=0),LOWER($M$3),IF(AND('Teacher A'!R9+'Teacher B'!R9&lt;8.5,'Teacher A'!R9+'Teacher B'!R9&gt;0),"Both","Error"))))))</f>
        <v/>
      </c>
      <c r="S10" s="157" t="str">
        <f>IF('Teacher A'!S9+'Teacher B'!S9=0,"",IF(AND('Teacher A'!S9&gt;6,'Teacher B'!S9=0),UPPER($M$2),IF(AND('Teacher B'!S9&gt;6,'Teacher A'!S9=0),UPPER($M$3),IF(AND('Teacher A'!S9&gt;0,'Teacher A'!S9&lt;6,'Teacher B'!S9=0),LOWER($M$2),IF(AND('Teacher B'!S9&lt;6,'Teacher B'!S9&gt;0,'Teacher A'!S9=0),LOWER($M$3),IF(AND('Teacher A'!S9+'Teacher B'!S9&lt;8.5,'Teacher A'!S9+'Teacher B'!S9&gt;0),"Both","Error"))))))</f>
        <v/>
      </c>
      <c r="T10" s="157" t="str">
        <f>IF('Teacher A'!T9+'Teacher B'!T9=0,"",IF(AND('Teacher A'!T9&gt;6,'Teacher B'!T9=0),UPPER($M$2),IF(AND('Teacher B'!T9&gt;6,'Teacher A'!T9=0),UPPER($M$3),IF(AND('Teacher A'!T9&gt;0,'Teacher A'!T9&lt;6,'Teacher B'!T9=0),LOWER($M$2),IF(AND('Teacher B'!T9&lt;6,'Teacher B'!T9&gt;0,'Teacher A'!T9=0),LOWER($M$3),IF(AND('Teacher A'!T9+'Teacher B'!T9&lt;8.5,'Teacher A'!T9+'Teacher B'!T9&gt;0),"Both","Error"))))))</f>
        <v/>
      </c>
      <c r="U10" s="158" t="str">
        <f>IF('Teacher A'!U9+'Teacher B'!U9=0,"",IF(AND('Teacher A'!U9&gt;6,'Teacher B'!U9=0),UPPER($M$2),IF(AND('Teacher B'!U9&gt;6,'Teacher A'!U9=0),UPPER($M$3),IF(AND('Teacher A'!U9&gt;0,'Teacher A'!U9&lt;6,'Teacher B'!U9=0),LOWER($M$2),IF(AND('Teacher B'!U9&lt;6,'Teacher B'!U9&gt;0,'Teacher A'!U9=0),LOWER($M$3),IF(AND('Teacher A'!U9+'Teacher B'!U9&lt;8.5,'Teacher A'!U9+'Teacher B'!U9&gt;0),"Both","Error"))))))</f>
        <v/>
      </c>
      <c r="V10" s="154"/>
      <c r="W10" s="310"/>
      <c r="X10" s="156" t="str">
        <f>IF('Teacher A'!X9+'Teacher B'!X9=0,"",IF(AND('Teacher A'!X9&gt;6,'Teacher B'!X9=0),UPPER($M$2),IF(AND('Teacher B'!X9&gt;6,'Teacher A'!X9=0),UPPER($M$3),IF(AND('Teacher A'!X9&gt;0,'Teacher A'!X9&lt;6,'Teacher B'!X9=0),LOWER($M$2),IF(AND('Teacher B'!X9&lt;6,'Teacher B'!X9&gt;0,'Teacher A'!X9=0),LOWER($M$3),IF(AND('Teacher A'!X9+'Teacher B'!X9&lt;8.5,'Teacher A'!X9+'Teacher B'!X9&gt;0),"Both","Error"))))))</f>
        <v/>
      </c>
      <c r="Y10" s="157" t="str">
        <f>IF('Teacher A'!Y9+'Teacher B'!Y9=0,"",IF(AND('Teacher A'!Y9&gt;6,'Teacher B'!Y9=0),UPPER($M$2),IF(AND('Teacher B'!Y9&gt;6,'Teacher A'!Y9=0),UPPER($M$3),IF(AND('Teacher A'!Y9&gt;0,'Teacher A'!Y9&lt;6,'Teacher B'!Y9=0),LOWER($M$2),IF(AND('Teacher B'!Y9&lt;6,'Teacher B'!Y9&gt;0,'Teacher A'!Y9=0),LOWER($M$3),IF(AND('Teacher A'!Y9+'Teacher B'!Y9&lt;8.5,'Teacher A'!Y9+'Teacher B'!Y9&gt;0),"Both","Error"))))))</f>
        <v/>
      </c>
      <c r="Z10" s="157" t="str">
        <f>IF('Teacher A'!Z9+'Teacher B'!Z9=0,"",IF(AND('Teacher A'!Z9&gt;6,'Teacher B'!Z9=0),UPPER($M$2),IF(AND('Teacher B'!Z9&gt;6,'Teacher A'!Z9=0),UPPER($M$3),IF(AND('Teacher A'!Z9&gt;0,'Teacher A'!Z9&lt;6,'Teacher B'!Z9=0),LOWER($M$2),IF(AND('Teacher B'!Z9&lt;6,'Teacher B'!Z9&gt;0,'Teacher A'!Z9=0),LOWER($M$3),IF(AND('Teacher A'!Z9+'Teacher B'!Z9&lt;8.5,'Teacher A'!Z9+'Teacher B'!Z9&gt;0),"Both","Error"))))))</f>
        <v/>
      </c>
      <c r="AA10" s="157" t="str">
        <f>IF('Teacher A'!AA9+'Teacher B'!AA9=0,"",IF(AND('Teacher A'!AA9&gt;6,'Teacher B'!AA9=0),UPPER($M$2),IF(AND('Teacher B'!AA9&gt;6,'Teacher A'!AA9=0),UPPER($M$3),IF(AND('Teacher A'!AA9&gt;0,'Teacher A'!AA9&lt;6,'Teacher B'!AA9=0),LOWER($M$2),IF(AND('Teacher B'!AA9&lt;6,'Teacher B'!AA9&gt;0,'Teacher A'!AA9=0),LOWER($M$3),IF(AND('Teacher A'!AA9+'Teacher B'!AA9&lt;8.5,'Teacher A'!AA9+'Teacher B'!AA9&gt;0),"Both","Error"))))))</f>
        <v/>
      </c>
      <c r="AB10" s="158" t="str">
        <f>IF('Teacher A'!AB9+'Teacher B'!AB9=0,"",IF(AND('Teacher A'!AB9&gt;6,'Teacher B'!AB9=0),UPPER($M$2),IF(AND('Teacher B'!AB9&gt;6,'Teacher A'!AB9=0),UPPER($M$3),IF(AND('Teacher A'!AB9&gt;0,'Teacher A'!AB9&lt;6,'Teacher B'!AB9=0),LOWER($M$2),IF(AND('Teacher B'!AB9&lt;6,'Teacher B'!AB9&gt;0,'Teacher A'!AB9=0),LOWER($M$3),IF(AND('Teacher A'!AB9+'Teacher B'!AB9&lt;8.5,'Teacher A'!AB9+'Teacher B'!AB9&gt;0),"Both","Error"))))))</f>
        <v/>
      </c>
      <c r="AC10" s="42"/>
    </row>
    <row r="11" spans="1:34" x14ac:dyDescent="0.25">
      <c r="A11" s="51"/>
      <c r="B11" s="293"/>
      <c r="C11" s="88">
        <f>IF(AND(YEAR(July1OffSet+16)=BegCalYear,MONTH(July1OffSet+16)=7),July1OffSet+16,"")</f>
        <v>45488</v>
      </c>
      <c r="D11" s="197">
        <f>IF(AND(YEAR(July1OffSet+17)=BegCalYear,MONTH(July1OffSet+17)=7),July1OffSet+17,"")</f>
        <v>45489</v>
      </c>
      <c r="E11" s="197">
        <f>IF(AND(YEAR(July1OffSet+18)=BegCalYear,MONTH(July1OffSet+18)=7),July1OffSet+18,"")</f>
        <v>45490</v>
      </c>
      <c r="F11" s="197">
        <f>IF(AND(YEAR(July1OffSet+19)=BegCalYear,MONTH(July1OffSet+19)=7),July1OffSet+19,"")</f>
        <v>45491</v>
      </c>
      <c r="G11" s="198">
        <f>IF(AND(YEAR(July1OffSet+20)=BegCalYear,MONTH(July1OffSet+20)=7),July1OffSet+20,"")</f>
        <v>45492</v>
      </c>
      <c r="H11" s="155"/>
      <c r="I11" s="310"/>
      <c r="J11" s="88">
        <f>IF(AND(YEAR(OctOffSet+16)=BegCalYear,MONTH(OctOffSet+16)=10),OctOffSet+16,"")</f>
        <v>45579</v>
      </c>
      <c r="K11" s="197">
        <f>IF(AND(YEAR(OctOffSet+17)=BegCalYear,MONTH(OctOffSet+17)=10),OctOffSet+17,"")</f>
        <v>45580</v>
      </c>
      <c r="L11" s="197">
        <f>IF(AND(YEAR(OctOffSet+18)=BegCalYear,MONTH(OctOffSet+18)=10),OctOffSet+18,"")</f>
        <v>45581</v>
      </c>
      <c r="M11" s="197">
        <f>IF(AND(YEAR(OctOffSet+19)=BegCalYear,MONTH(OctOffSet+19)=10),OctOffSet+19,"")</f>
        <v>45582</v>
      </c>
      <c r="N11" s="198">
        <f>IF(AND(YEAR(OctOffSet+20)=BegCalYear,MONTH(OctOffSet+20)=10),OctOffSet+20,"")</f>
        <v>45583</v>
      </c>
      <c r="O11" s="154"/>
      <c r="P11" s="307"/>
      <c r="Q11" s="88">
        <f>IF(AND(YEAR(JanOffSet+16)=CalendarYear,MONTH(JanOffSet+16)=1),JanOffSet+16,"")</f>
        <v>45670</v>
      </c>
      <c r="R11" s="197">
        <f>IF(AND(YEAR(JanOffSet+17)=CalendarYear,MONTH(JanOffSet+17)=1),JanOffSet+17,"")</f>
        <v>45671</v>
      </c>
      <c r="S11" s="197">
        <f>IF(AND(YEAR(JanOffSet+18)=CalendarYear,MONTH(JanOffSet+18)=1),JanOffSet+18,"")</f>
        <v>45672</v>
      </c>
      <c r="T11" s="197">
        <f>IF(AND(YEAR(JanOffSet+19)=CalendarYear,MONTH(JanOffSet+19)=1),JanOffSet+19,"")</f>
        <v>45673</v>
      </c>
      <c r="U11" s="198">
        <f>IF(AND(YEAR(JanOffSet+20)=CalendarYear,MONTH(JanOffSet+20)=1),JanOffSet+20,"")</f>
        <v>45674</v>
      </c>
      <c r="V11" s="154"/>
      <c r="W11" s="310"/>
      <c r="X11" s="88">
        <f>IF(AND(YEAR(AprOffSet+16)=CalendarYear,MONTH(AprOffSet+16)=4),AprOffSet+16,"")</f>
        <v>45761</v>
      </c>
      <c r="Y11" s="197">
        <f>IF(AND(YEAR(AprOffSet+17)=CalendarYear,MONTH(AprOffSet+17)=4),AprOffSet+17,"")</f>
        <v>45762</v>
      </c>
      <c r="Z11" s="197">
        <f>IF(AND(YEAR(AprOffSet+18)=CalendarYear,MONTH(AprOffSet+18)=4),AprOffSet+18,"")</f>
        <v>45763</v>
      </c>
      <c r="AA11" s="197">
        <f>IF(AND(YEAR(AprOffSet+19)=CalendarYear,MONTH(AprOffSet+19)=4),AprOffSet+19,"")</f>
        <v>45764</v>
      </c>
      <c r="AB11" s="198">
        <f>IF(AND(YEAR(AprOffSet+20)=CalendarYear,MONTH(AprOffSet+20)=4),AprOffSet+20,"")</f>
        <v>45765</v>
      </c>
      <c r="AC11" s="42"/>
    </row>
    <row r="12" spans="1:34" x14ac:dyDescent="0.25">
      <c r="A12" s="51"/>
      <c r="B12" s="293"/>
      <c r="C12" s="156" t="str">
        <f>IF('Teacher A'!C11+'Teacher B'!C11=0,"",IF(AND('Teacher A'!C11&gt;6,'Teacher B'!C11=0),UPPER($M$2),IF(AND('Teacher B'!C11&gt;6,'Teacher A'!C11=0),UPPER($M$3),IF(AND('Teacher A'!C11&gt;0,'Teacher A'!C11&lt;6,'Teacher B'!C11=0),LOWER($M$2),IF(AND('Teacher B'!C11&lt;6,'Teacher B'!C11&gt;0,'Teacher A'!C11=0),LOWER($M$3),IF(AND('Teacher A'!C11+'Teacher B'!C11&lt;8.5,'Teacher A'!C11+'Teacher B'!C11&gt;0),"Both","Error"))))))</f>
        <v/>
      </c>
      <c r="D12" s="157" t="str">
        <f>IF('Teacher A'!D11+'Teacher B'!D11=0,"",IF(AND('Teacher A'!D11&gt;6,'Teacher B'!D11=0),UPPER($M$2),IF(AND('Teacher B'!D11&gt;6,'Teacher A'!D11=0),UPPER($M$3),IF(AND('Teacher A'!D11&gt;0,'Teacher A'!D11&lt;6,'Teacher B'!D11=0),LOWER($M$2),IF(AND('Teacher B'!D11&lt;6,'Teacher B'!D11&gt;0,'Teacher A'!D11=0),LOWER($M$3),IF(AND('Teacher A'!D11+'Teacher B'!D11&lt;8.5,'Teacher A'!D11+'Teacher B'!D11&gt;0),"Both","Error"))))))</f>
        <v/>
      </c>
      <c r="E12" s="157" t="str">
        <f>IF('Teacher A'!E11+'Teacher B'!E11=0,"",IF(AND('Teacher A'!E11&gt;6,'Teacher B'!E11=0),UPPER($M$2),IF(AND('Teacher B'!E11&gt;6,'Teacher A'!E11=0),UPPER($M$3),IF(AND('Teacher A'!E11&gt;0,'Teacher A'!E11&lt;6,'Teacher B'!E11=0),LOWER($M$2),IF(AND('Teacher B'!E11&lt;6,'Teacher B'!E11&gt;0,'Teacher A'!E11=0),LOWER($M$3),IF(AND('Teacher A'!E11+'Teacher B'!E11&lt;8.5,'Teacher A'!E11+'Teacher B'!E11&gt;0),"Both","Error"))))))</f>
        <v/>
      </c>
      <c r="F12" s="157" t="str">
        <f>IF('Teacher A'!F11+'Teacher B'!F11=0,"",IF(AND('Teacher A'!F11&gt;6,'Teacher B'!F11=0),UPPER($M$2),IF(AND('Teacher B'!F11&gt;6,'Teacher A'!F11=0),UPPER($M$3),IF(AND('Teacher A'!F11&gt;0,'Teacher A'!F11&lt;6,'Teacher B'!F11=0),LOWER($M$2),IF(AND('Teacher B'!F11&lt;6,'Teacher B'!F11&gt;0,'Teacher A'!F11=0),LOWER($M$3),IF(AND('Teacher A'!F11+'Teacher B'!F11&lt;8.5,'Teacher A'!F11+'Teacher B'!F11&gt;0),"Both","Error"))))))</f>
        <v/>
      </c>
      <c r="G12" s="158" t="str">
        <f>IF('Teacher A'!G11+'Teacher B'!G11=0,"",IF(AND('Teacher A'!G11&gt;6,'Teacher B'!G11=0),UPPER($M$2),IF(AND('Teacher B'!G11&gt;6,'Teacher A'!G11=0),UPPER($M$3),IF(AND('Teacher A'!G11&gt;0,'Teacher A'!G11&lt;6,'Teacher B'!G11=0),LOWER($M$2),IF(AND('Teacher B'!G11&lt;6,'Teacher B'!G11&gt;0,'Teacher A'!G11=0),LOWER($M$3),IF(AND('Teacher A'!G11+'Teacher B'!G11&lt;8.5,'Teacher A'!G11+'Teacher B'!G11&gt;0),"Both","Error"))))))</f>
        <v/>
      </c>
      <c r="H12" s="154"/>
      <c r="I12" s="310"/>
      <c r="J12" s="156" t="str">
        <f>IF('Teacher A'!J11+'Teacher B'!J11=0,"",IF(AND('Teacher A'!J11&gt;6,'Teacher B'!J11=0),UPPER($M$2),IF(AND('Teacher B'!J11&gt;6,'Teacher A'!J11=0),UPPER($M$3),IF(AND('Teacher A'!J11&gt;0,'Teacher A'!J11&lt;6,'Teacher B'!J11=0),LOWER($M$2),IF(AND('Teacher B'!J11&lt;6,'Teacher B'!J11&gt;0,'Teacher A'!J11=0),LOWER($M$3),IF(AND('Teacher A'!J11+'Teacher B'!J11&lt;8.5,'Teacher A'!J11+'Teacher B'!J11&gt;0),"Both","Error"))))))</f>
        <v/>
      </c>
      <c r="K12" s="157" t="str">
        <f>IF('Teacher A'!K11+'Teacher B'!K11=0,"",IF(AND('Teacher A'!K11&gt;6,'Teacher B'!K11=0),UPPER($M$2),IF(AND('Teacher B'!K11&gt;6,'Teacher A'!K11=0),UPPER($M$3),IF(AND('Teacher A'!K11&gt;0,'Teacher A'!K11&lt;6,'Teacher B'!K11=0),LOWER($M$2),IF(AND('Teacher B'!K11&lt;6,'Teacher B'!K11&gt;0,'Teacher A'!K11=0),LOWER($M$3),IF(AND('Teacher A'!K11+'Teacher B'!K11&lt;8.5,'Teacher A'!K11+'Teacher B'!K11&gt;0),"Both","Error"))))))</f>
        <v/>
      </c>
      <c r="L12" s="157" t="str">
        <f>IF('Teacher A'!L11+'Teacher B'!L11=0,"",IF(AND('Teacher A'!L11&gt;6,'Teacher B'!L11=0),UPPER($M$2),IF(AND('Teacher B'!L11&gt;6,'Teacher A'!L11=0),UPPER($M$3),IF(AND('Teacher A'!L11&gt;0,'Teacher A'!L11&lt;6,'Teacher B'!L11=0),LOWER($M$2),IF(AND('Teacher B'!L11&lt;6,'Teacher B'!L11&gt;0,'Teacher A'!L11=0),LOWER($M$3),IF(AND('Teacher A'!L11+'Teacher B'!L11&lt;8.5,'Teacher A'!L11+'Teacher B'!L11&gt;0),"Both","Error"))))))</f>
        <v/>
      </c>
      <c r="M12" s="157" t="str">
        <f>IF('Teacher A'!M11+'Teacher B'!M11=0,"",IF(AND('Teacher A'!M11&gt;6,'Teacher B'!M11=0),UPPER($M$2),IF(AND('Teacher B'!M11&gt;6,'Teacher A'!M11=0),UPPER($M$3),IF(AND('Teacher A'!M11&gt;0,'Teacher A'!M11&lt;6,'Teacher B'!M11=0),LOWER($M$2),IF(AND('Teacher B'!M11&lt;6,'Teacher B'!M11&gt;0,'Teacher A'!M11=0),LOWER($M$3),IF(AND('Teacher A'!M11+'Teacher B'!M11&lt;8.5,'Teacher A'!M11+'Teacher B'!M11&gt;0),"Both","Error"))))))</f>
        <v/>
      </c>
      <c r="N12" s="158" t="str">
        <f>IF('Teacher A'!N11+'Teacher B'!N11=0,"",IF(AND('Teacher A'!N11&gt;6,'Teacher B'!N11=0),UPPER($M$2),IF(AND('Teacher B'!N11&gt;6,'Teacher A'!N11=0),UPPER($M$3),IF(AND('Teacher A'!N11&gt;0,'Teacher A'!N11&lt;6,'Teacher B'!N11=0),LOWER($M$2),IF(AND('Teacher B'!N11&lt;6,'Teacher B'!N11&gt;0,'Teacher A'!N11=0),LOWER($M$3),IF(AND('Teacher A'!N11+'Teacher B'!N11&lt;8.5,'Teacher A'!N11+'Teacher B'!N11&gt;0),"Both","Error"))))))</f>
        <v/>
      </c>
      <c r="O12" s="154"/>
      <c r="P12" s="307"/>
      <c r="Q12" s="156" t="str">
        <f>IF('Teacher A'!Q11+'Teacher B'!Q11=0,"",IF(AND('Teacher A'!Q11&gt;6,'Teacher B'!Q11=0),UPPER($M$2),IF(AND('Teacher B'!Q11&gt;6,'Teacher A'!Q11=0),UPPER($M$3),IF(AND('Teacher A'!Q11&gt;0,'Teacher A'!Q11&lt;6,'Teacher B'!Q11=0),LOWER($M$2),IF(AND('Teacher B'!Q11&lt;6,'Teacher B'!Q11&gt;0,'Teacher A'!Q11=0),LOWER($M$3),IF(AND('Teacher A'!Q11+'Teacher B'!Q11&lt;8.5,'Teacher A'!Q11+'Teacher B'!Q11&gt;0),"Both","Error"))))))</f>
        <v/>
      </c>
      <c r="R12" s="157" t="str">
        <f>IF('Teacher A'!R11+'Teacher B'!R11=0,"",IF(AND('Teacher A'!R11&gt;6,'Teacher B'!R11=0),UPPER($M$2),IF(AND('Teacher B'!R11&gt;6,'Teacher A'!R11=0),UPPER($M$3),IF(AND('Teacher A'!R11&gt;0,'Teacher A'!R11&lt;6,'Teacher B'!R11=0),LOWER($M$2),IF(AND('Teacher B'!R11&lt;6,'Teacher B'!R11&gt;0,'Teacher A'!R11=0),LOWER($M$3),IF(AND('Teacher A'!R11+'Teacher B'!R11&lt;8.5,'Teacher A'!R11+'Teacher B'!R11&gt;0),"Both","Error"))))))</f>
        <v/>
      </c>
      <c r="S12" s="157" t="str">
        <f>IF('Teacher A'!S11+'Teacher B'!S11=0,"",IF(AND('Teacher A'!S11&gt;6,'Teacher B'!S11=0),UPPER($M$2),IF(AND('Teacher B'!S11&gt;6,'Teacher A'!S11=0),UPPER($M$3),IF(AND('Teacher A'!S11&gt;0,'Teacher A'!S11&lt;6,'Teacher B'!S11=0),LOWER($M$2),IF(AND('Teacher B'!S11&lt;6,'Teacher B'!S11&gt;0,'Teacher A'!S11=0),LOWER($M$3),IF(AND('Teacher A'!S11+'Teacher B'!S11&lt;8.5,'Teacher A'!S11+'Teacher B'!S11&gt;0),"Both","Error"))))))</f>
        <v/>
      </c>
      <c r="T12" s="157" t="str">
        <f>IF('Teacher A'!T11+'Teacher B'!T11=0,"",IF(AND('Teacher A'!T11&gt;6,'Teacher B'!T11=0),UPPER($M$2),IF(AND('Teacher B'!T11&gt;6,'Teacher A'!T11=0),UPPER($M$3),IF(AND('Teacher A'!T11&gt;0,'Teacher A'!T11&lt;6,'Teacher B'!T11=0),LOWER($M$2),IF(AND('Teacher B'!T11&lt;6,'Teacher B'!T11&gt;0,'Teacher A'!T11=0),LOWER($M$3),IF(AND('Teacher A'!T11+'Teacher B'!T11&lt;8.5,'Teacher A'!T11+'Teacher B'!T11&gt;0),"Both","Error"))))))</f>
        <v/>
      </c>
      <c r="U12" s="158" t="str">
        <f>IF('Teacher A'!U11+'Teacher B'!U11=0,"",IF(AND('Teacher A'!U11&gt;6,'Teacher B'!U11=0),UPPER($M$2),IF(AND('Teacher B'!U11&gt;6,'Teacher A'!U11=0),UPPER($M$3),IF(AND('Teacher A'!U11&gt;0,'Teacher A'!U11&lt;6,'Teacher B'!U11=0),LOWER($M$2),IF(AND('Teacher B'!U11&lt;6,'Teacher B'!U11&gt;0,'Teacher A'!U11=0),LOWER($M$3),IF(AND('Teacher A'!U11+'Teacher B'!U11&lt;8.5,'Teacher A'!U11+'Teacher B'!U11&gt;0),"Both","Error"))))))</f>
        <v/>
      </c>
      <c r="V12" s="159"/>
      <c r="W12" s="310"/>
      <c r="X12" s="156" t="str">
        <f>IF('Teacher A'!X11+'Teacher B'!X11=0,"",IF(AND('Teacher A'!X11&gt;6,'Teacher B'!X11=0),UPPER($M$2),IF(AND('Teacher B'!X11&gt;6,'Teacher A'!X11=0),UPPER($M$3),IF(AND('Teacher A'!X11&gt;0,'Teacher A'!X11&lt;6,'Teacher B'!X11=0),LOWER($M$2),IF(AND('Teacher B'!X11&lt;6,'Teacher B'!X11&gt;0,'Teacher A'!X11=0),LOWER($M$3),IF(AND('Teacher A'!X11+'Teacher B'!X11&lt;8.5,'Teacher A'!X11+'Teacher B'!X11&gt;0),"Both","Error"))))))</f>
        <v/>
      </c>
      <c r="Y12" s="157" t="str">
        <f>IF('Teacher A'!Y11+'Teacher B'!Y11=0,"",IF(AND('Teacher A'!Y11&gt;6,'Teacher B'!Y11=0),UPPER($M$2),IF(AND('Teacher B'!Y11&gt;6,'Teacher A'!Y11=0),UPPER($M$3),IF(AND('Teacher A'!Y11&gt;0,'Teacher A'!Y11&lt;6,'Teacher B'!Y11=0),LOWER($M$2),IF(AND('Teacher B'!Y11&lt;6,'Teacher B'!Y11&gt;0,'Teacher A'!Y11=0),LOWER($M$3),IF(AND('Teacher A'!Y11+'Teacher B'!Y11&lt;8.5,'Teacher A'!Y11+'Teacher B'!Y11&gt;0),"Both","Error"))))))</f>
        <v/>
      </c>
      <c r="Z12" s="157" t="str">
        <f>IF('Teacher A'!Z11+'Teacher B'!Z11=0,"",IF(AND('Teacher A'!Z11&gt;6,'Teacher B'!Z11=0),UPPER($M$2),IF(AND('Teacher B'!Z11&gt;6,'Teacher A'!Z11=0),UPPER($M$3),IF(AND('Teacher A'!Z11&gt;0,'Teacher A'!Z11&lt;6,'Teacher B'!Z11=0),LOWER($M$2),IF(AND('Teacher B'!Z11&lt;6,'Teacher B'!Z11&gt;0,'Teacher A'!Z11=0),LOWER($M$3),IF(AND('Teacher A'!Z11+'Teacher B'!Z11&lt;8.5,'Teacher A'!Z11+'Teacher B'!Z11&gt;0),"Both","Error"))))))</f>
        <v/>
      </c>
      <c r="AA12" s="157" t="str">
        <f>IF('Teacher A'!AA11+'Teacher B'!AA11=0,"",IF(AND('Teacher A'!AA11&gt;6,'Teacher B'!AA11=0),UPPER($M$2),IF(AND('Teacher B'!AA11&gt;6,'Teacher A'!AA11=0),UPPER($M$3),IF(AND('Teacher A'!AA11&gt;0,'Teacher A'!AA11&lt;6,'Teacher B'!AA11=0),LOWER($M$2),IF(AND('Teacher B'!AA11&lt;6,'Teacher B'!AA11&gt;0,'Teacher A'!AA11=0),LOWER($M$3),IF(AND('Teacher A'!AA11+'Teacher B'!AA11&lt;8.5,'Teacher A'!AA11+'Teacher B'!AA11&gt;0),"Both","Error"))))))</f>
        <v/>
      </c>
      <c r="AB12" s="158" t="str">
        <f>IF('Teacher A'!AB11+'Teacher B'!AB11=0,"",IF(AND('Teacher A'!AB11&gt;6,'Teacher B'!AB11=0),UPPER($M$2),IF(AND('Teacher B'!AB11&gt;6,'Teacher A'!AB11=0),UPPER($M$3),IF(AND('Teacher A'!AB11&gt;0,'Teacher A'!AB11&lt;6,'Teacher B'!AB11=0),LOWER($M$2),IF(AND('Teacher B'!AB11&lt;6,'Teacher B'!AB11&gt;0,'Teacher A'!AB11=0),LOWER($M$3),IF(AND('Teacher A'!AB11+'Teacher B'!AB11&lt;8.5,'Teacher A'!AB11+'Teacher B'!AB11&gt;0),"Both","Error"))))))</f>
        <v/>
      </c>
      <c r="AC12" s="43"/>
    </row>
    <row r="13" spans="1:34" x14ac:dyDescent="0.25">
      <c r="A13" s="51"/>
      <c r="B13" s="293"/>
      <c r="C13" s="88">
        <f>IF(AND(YEAR(July1OffSet+23)=BegCalYear,MONTH(July1OffSet+23)=7),July1OffSet+23,"")</f>
        <v>45495</v>
      </c>
      <c r="D13" s="197">
        <f>IF(AND(YEAR(July1OffSet+24)=BegCalYear,MONTH(July1OffSet+24)=7),July1OffSet+24,"")</f>
        <v>45496</v>
      </c>
      <c r="E13" s="197">
        <f>IF(AND(YEAR(July1OffSet+25)=BegCalYear,MONTH(July1OffSet+25)=7),July1OffSet+25,"")</f>
        <v>45497</v>
      </c>
      <c r="F13" s="197">
        <f>IF(AND(YEAR(July1OffSet+26)=BegCalYear,MONTH(July1OffSet+26)=7),July1OffSet+26,"")</f>
        <v>45498</v>
      </c>
      <c r="G13" s="198">
        <f>IF(AND(YEAR(July1OffSet+27)=BegCalYear,MONTH(July1OffSet+27)=7),July1OffSet+27,"")</f>
        <v>45499</v>
      </c>
      <c r="H13" s="154"/>
      <c r="I13" s="310"/>
      <c r="J13" s="88">
        <f>IF(AND(YEAR(OctOffSet+23)=BegCalYear,MONTH(OctOffSet+23)=10),OctOffSet+23,"")</f>
        <v>45586</v>
      </c>
      <c r="K13" s="197">
        <f>IF(AND(YEAR(OctOffSet+24)=BegCalYear,MONTH(OctOffSet+24)=10),OctOffSet+24,"")</f>
        <v>45587</v>
      </c>
      <c r="L13" s="197">
        <f>IF(AND(YEAR(OctOffSet+25)=BegCalYear,MONTH(OctOffSet+25)=10),OctOffSet+25,"")</f>
        <v>45588</v>
      </c>
      <c r="M13" s="197">
        <f>IF(AND(YEAR(OctOffSet+26)=BegCalYear,MONTH(OctOffSet+26)=10),OctOffSet+26,"")</f>
        <v>45589</v>
      </c>
      <c r="N13" s="198">
        <f>IF(AND(YEAR(OctOffSet+27)=BegCalYear,MONTH(OctOffSet+27)=10),OctOffSet+27,"")</f>
        <v>45590</v>
      </c>
      <c r="O13" s="154"/>
      <c r="P13" s="307"/>
      <c r="Q13" s="88">
        <f>IF(AND(YEAR(JanOffSet+23)=CalendarYear,MONTH(JanOffSet+23)=1),JanOffSet+23,"")</f>
        <v>45677</v>
      </c>
      <c r="R13" s="197">
        <f>IF(AND(YEAR(JanOffSet+24)=CalendarYear,MONTH(JanOffSet+24)=1),JanOffSet+24,"")</f>
        <v>45678</v>
      </c>
      <c r="S13" s="197">
        <f>IF(AND(YEAR(JanOffSet+25)=CalendarYear,MONTH(JanOffSet+25)=1),JanOffSet+25,"")</f>
        <v>45679</v>
      </c>
      <c r="T13" s="197">
        <f>IF(AND(YEAR(JanOffSet+26)=CalendarYear,MONTH(JanOffSet+26)=1),JanOffSet+26,"")</f>
        <v>45680</v>
      </c>
      <c r="U13" s="198">
        <f>IF(AND(YEAR(JanOffSet+27)=CalendarYear,MONTH(JanOffSet+27)=1),JanOffSet+27,"")</f>
        <v>45681</v>
      </c>
      <c r="V13" s="154"/>
      <c r="W13" s="310"/>
      <c r="X13" s="88">
        <f>IF(AND(YEAR(AprOffSet+23)=CalendarYear,MONTH(AprOffSet+23)=4),AprOffSet+23,"")</f>
        <v>45768</v>
      </c>
      <c r="Y13" s="197">
        <f>IF(AND(YEAR(AprOffSet+24)=CalendarYear,MONTH(AprOffSet+24)=4),AprOffSet+24,"")</f>
        <v>45769</v>
      </c>
      <c r="Z13" s="197">
        <f>IF(AND(YEAR(AprOffSet+25)=CalendarYear,MONTH(AprOffSet+25)=4),AprOffSet+25,"")</f>
        <v>45770</v>
      </c>
      <c r="AA13" s="197">
        <f>IF(AND(YEAR(AprOffSet+26)=CalendarYear,MONTH(AprOffSet+26)=4),AprOffSet+26,"")</f>
        <v>45771</v>
      </c>
      <c r="AB13" s="198">
        <f>IF(AND(YEAR(AprOffSet+27)=CalendarYear,MONTH(AprOffSet+27)=4),AprOffSet+27,"")</f>
        <v>45772</v>
      </c>
      <c r="AC13" s="25"/>
    </row>
    <row r="14" spans="1:34" x14ac:dyDescent="0.25">
      <c r="A14" s="51"/>
      <c r="B14" s="293"/>
      <c r="C14" s="156" t="str">
        <f>IF('Teacher A'!C13+'Teacher B'!C13=0,"",IF(AND('Teacher A'!C13&gt;6,'Teacher B'!C13=0),UPPER($M$2),IF(AND('Teacher B'!C13&gt;6,'Teacher A'!C13=0),UPPER($M$3),IF(AND('Teacher A'!C13&gt;0,'Teacher A'!C13&lt;6,'Teacher B'!C13=0),LOWER($M$2),IF(AND('Teacher B'!C13&lt;6,'Teacher B'!C13&gt;0,'Teacher A'!C13=0),LOWER($M$3),IF(AND('Teacher A'!C13+'Teacher B'!C13&lt;8.5,'Teacher A'!C13+'Teacher B'!C13&gt;0),"Both","Error"))))))</f>
        <v/>
      </c>
      <c r="D14" s="157" t="str">
        <f>IF('Teacher A'!D13+'Teacher B'!D13=0,"",IF(AND('Teacher A'!D13&gt;6,'Teacher B'!D13=0),UPPER($M$2),IF(AND('Teacher B'!D13&gt;6,'Teacher A'!D13=0),UPPER($M$3),IF(AND('Teacher A'!D13&gt;0,'Teacher A'!D13&lt;6,'Teacher B'!D13=0),LOWER($M$2),IF(AND('Teacher B'!D13&lt;6,'Teacher B'!D13&gt;0,'Teacher A'!D13=0),LOWER($M$3),IF(AND('Teacher A'!D13+'Teacher B'!D13&lt;8.5,'Teacher A'!D13+'Teacher B'!D13&gt;0),"Both","Error"))))))</f>
        <v/>
      </c>
      <c r="E14" s="157" t="str">
        <f>IF('Teacher A'!E13+'Teacher B'!E13=0,"",IF(AND('Teacher A'!E13&gt;6,'Teacher B'!E13=0),UPPER($M$2),IF(AND('Teacher B'!E13&gt;6,'Teacher A'!E13=0),UPPER($M$3),IF(AND('Teacher A'!E13&gt;0,'Teacher A'!E13&lt;6,'Teacher B'!E13=0),LOWER($M$2),IF(AND('Teacher B'!E13&lt;6,'Teacher B'!E13&gt;0,'Teacher A'!E13=0),LOWER($M$3),IF(AND('Teacher A'!E13+'Teacher B'!E13&lt;8.5,'Teacher A'!E13+'Teacher B'!E13&gt;0),"Both","Error"))))))</f>
        <v/>
      </c>
      <c r="F14" s="157" t="str">
        <f>IF('Teacher A'!F13+'Teacher B'!F13=0,"",IF(AND('Teacher A'!F13&gt;6,'Teacher B'!F13=0),UPPER($M$2),IF(AND('Teacher B'!F13&gt;6,'Teacher A'!F13=0),UPPER($M$3),IF(AND('Teacher A'!F13&gt;0,'Teacher A'!F13&lt;6,'Teacher B'!F13=0),LOWER($M$2),IF(AND('Teacher B'!F13&lt;6,'Teacher B'!F13&gt;0,'Teacher A'!F13=0),LOWER($M$3),IF(AND('Teacher A'!F13+'Teacher B'!F13&lt;8.5,'Teacher A'!F13+'Teacher B'!F13&gt;0),"Both","Error"))))))</f>
        <v/>
      </c>
      <c r="G14" s="158" t="str">
        <f>IF('Teacher A'!G13+'Teacher B'!G13=0,"",IF(AND('Teacher A'!G13&gt;6,'Teacher B'!G13=0),UPPER($M$2),IF(AND('Teacher B'!G13&gt;6,'Teacher A'!G13=0),UPPER($M$3),IF(AND('Teacher A'!G13&gt;0,'Teacher A'!G13&lt;6,'Teacher B'!G13=0),LOWER($M$2),IF(AND('Teacher B'!G13&lt;6,'Teacher B'!G13&gt;0,'Teacher A'!G13=0),LOWER($M$3),IF(AND('Teacher A'!G13+'Teacher B'!G13&lt;8.5,'Teacher A'!G13+'Teacher B'!G13&gt;0),"Both","Error"))))))</f>
        <v/>
      </c>
      <c r="H14" s="159"/>
      <c r="I14" s="310"/>
      <c r="J14" s="156" t="str">
        <f>IF('Teacher A'!J13+'Teacher B'!J13=0,"",IF(AND('Teacher A'!J13&gt;6,'Teacher B'!J13=0),UPPER($M$2),IF(AND('Teacher B'!J13&gt;6,'Teacher A'!J13=0),UPPER($M$3),IF(AND('Teacher A'!J13&gt;0,'Teacher A'!J13&lt;6,'Teacher B'!J13=0),LOWER($M$2),IF(AND('Teacher B'!J13&lt;6,'Teacher B'!J13&gt;0,'Teacher A'!J13=0),LOWER($M$3),IF(AND('Teacher A'!J13+'Teacher B'!J13&lt;8.5,'Teacher A'!J13+'Teacher B'!J13&gt;0),"Both","Error"))))))</f>
        <v/>
      </c>
      <c r="K14" s="157" t="str">
        <f>IF('Teacher A'!K13+'Teacher B'!K13=0,"",IF(AND('Teacher A'!K13&gt;6,'Teacher B'!K13=0),UPPER($M$2),IF(AND('Teacher B'!K13&gt;6,'Teacher A'!K13=0),UPPER($M$3),IF(AND('Teacher A'!K13&gt;0,'Teacher A'!K13&lt;6,'Teacher B'!K13=0),LOWER($M$2),IF(AND('Teacher B'!K13&lt;6,'Teacher B'!K13&gt;0,'Teacher A'!K13=0),LOWER($M$3),IF(AND('Teacher A'!K13+'Teacher B'!K13&lt;8.5,'Teacher A'!K13+'Teacher B'!K13&gt;0),"Both","Error"))))))</f>
        <v/>
      </c>
      <c r="L14" s="157" t="str">
        <f>IF('Teacher A'!L13+'Teacher B'!L13=0,"",IF(AND('Teacher A'!L13&gt;6,'Teacher B'!L13=0),UPPER($M$2),IF(AND('Teacher B'!L13&gt;6,'Teacher A'!L13=0),UPPER($M$3),IF(AND('Teacher A'!L13&gt;0,'Teacher A'!L13&lt;6,'Teacher B'!L13=0),LOWER($M$2),IF(AND('Teacher B'!L13&lt;6,'Teacher B'!L13&gt;0,'Teacher A'!L13=0),LOWER($M$3),IF(AND('Teacher A'!L13+'Teacher B'!L13&lt;8.5,'Teacher A'!L13+'Teacher B'!L13&gt;0),"Both","Error"))))))</f>
        <v/>
      </c>
      <c r="M14" s="157" t="str">
        <f>IF('Teacher A'!M13+'Teacher B'!M13=0,"",IF(AND('Teacher A'!M13&gt;6,'Teacher B'!M13=0),UPPER($M$2),IF(AND('Teacher B'!M13&gt;6,'Teacher A'!M13=0),UPPER($M$3),IF(AND('Teacher A'!M13&gt;0,'Teacher A'!M13&lt;6,'Teacher B'!M13=0),LOWER($M$2),IF(AND('Teacher B'!M13&lt;6,'Teacher B'!M13&gt;0,'Teacher A'!M13=0),LOWER($M$3),IF(AND('Teacher A'!M13+'Teacher B'!M13&lt;8.5,'Teacher A'!M13+'Teacher B'!M13&gt;0),"Both","Error"))))))</f>
        <v/>
      </c>
      <c r="N14" s="158" t="str">
        <f>IF('Teacher A'!N13+'Teacher B'!N13=0,"",IF(AND('Teacher A'!N13&gt;6,'Teacher B'!N13=0),UPPER($M$2),IF(AND('Teacher B'!N13&gt;6,'Teacher A'!N13=0),UPPER($M$3),IF(AND('Teacher A'!N13&gt;0,'Teacher A'!N13&lt;6,'Teacher B'!N13=0),LOWER($M$2),IF(AND('Teacher B'!N13&lt;6,'Teacher B'!N13&gt;0,'Teacher A'!N13=0),LOWER($M$3),IF(AND('Teacher A'!N13+'Teacher B'!N13&lt;8.5,'Teacher A'!N13+'Teacher B'!N13&gt;0),"Both","Error"))))))</f>
        <v/>
      </c>
      <c r="O14" s="159"/>
      <c r="P14" s="307"/>
      <c r="Q14" s="156" t="str">
        <f>IF('Teacher A'!Q13+'Teacher B'!Q13=0,"",IF(AND('Teacher A'!Q13&gt;6,'Teacher B'!Q13=0),UPPER($M$2),IF(AND('Teacher B'!Q13&gt;6,'Teacher A'!Q13=0),UPPER($M$3),IF(AND('Teacher A'!Q13&gt;0,'Teacher A'!Q13&lt;6,'Teacher B'!Q13=0),LOWER($M$2),IF(AND('Teacher B'!Q13&lt;6,'Teacher B'!Q13&gt;0,'Teacher A'!Q13=0),LOWER($M$3),IF(AND('Teacher A'!Q13+'Teacher B'!Q13&lt;8.5,'Teacher A'!Q13+'Teacher B'!Q13&gt;0),"Both","Error"))))))</f>
        <v/>
      </c>
      <c r="R14" s="157" t="str">
        <f>IF('Teacher A'!R13+'Teacher B'!R13=0,"",IF(AND('Teacher A'!R13&gt;6,'Teacher B'!R13=0),UPPER($M$2),IF(AND('Teacher B'!R13&gt;6,'Teacher A'!R13=0),UPPER($M$3),IF(AND('Teacher A'!R13&gt;0,'Teacher A'!R13&lt;6,'Teacher B'!R13=0),LOWER($M$2),IF(AND('Teacher B'!R13&lt;6,'Teacher B'!R13&gt;0,'Teacher A'!R13=0),LOWER($M$3),IF(AND('Teacher A'!R13+'Teacher B'!R13&lt;8.5,'Teacher A'!R13+'Teacher B'!R13&gt;0),"Both","Error"))))))</f>
        <v/>
      </c>
      <c r="S14" s="157" t="str">
        <f>IF('Teacher A'!S13+'Teacher B'!S13=0,"",IF(AND('Teacher A'!S13&gt;6,'Teacher B'!S13=0),UPPER($M$2),IF(AND('Teacher B'!S13&gt;6,'Teacher A'!S13=0),UPPER($M$3),IF(AND('Teacher A'!S13&gt;0,'Teacher A'!S13&lt;6,'Teacher B'!S13=0),LOWER($M$2),IF(AND('Teacher B'!S13&lt;6,'Teacher B'!S13&gt;0,'Teacher A'!S13=0),LOWER($M$3),IF(AND('Teacher A'!S13+'Teacher B'!S13&lt;8.5,'Teacher A'!S13+'Teacher B'!S13&gt;0),"Both","Error"))))))</f>
        <v/>
      </c>
      <c r="T14" s="157" t="str">
        <f>IF('Teacher A'!T13+'Teacher B'!T13=0,"",IF(AND('Teacher A'!T13&gt;6,'Teacher B'!T13=0),UPPER($M$2),IF(AND('Teacher B'!T13&gt;6,'Teacher A'!T13=0),UPPER($M$3),IF(AND('Teacher A'!T13&gt;0,'Teacher A'!T13&lt;6,'Teacher B'!T13=0),LOWER($M$2),IF(AND('Teacher B'!T13&lt;6,'Teacher B'!T13&gt;0,'Teacher A'!T13=0),LOWER($M$3),IF(AND('Teacher A'!T13+'Teacher B'!T13&lt;8.5,'Teacher A'!T13+'Teacher B'!T13&gt;0),"Both","Error"))))))</f>
        <v/>
      </c>
      <c r="U14" s="158" t="str">
        <f>IF('Teacher A'!U13+'Teacher B'!U13=0,"",IF(AND('Teacher A'!U13&gt;6,'Teacher B'!U13=0),UPPER($M$2),IF(AND('Teacher B'!U13&gt;6,'Teacher A'!U13=0),UPPER($M$3),IF(AND('Teacher A'!U13&gt;0,'Teacher A'!U13&lt;6,'Teacher B'!U13=0),LOWER($M$2),IF(AND('Teacher B'!U13&lt;6,'Teacher B'!U13&gt;0,'Teacher A'!U13=0),LOWER($M$3),IF(AND('Teacher A'!U13+'Teacher B'!U13&lt;8.5,'Teacher A'!U13+'Teacher B'!U13&gt;0),"Both","Error"))))))</f>
        <v/>
      </c>
      <c r="V14" s="159"/>
      <c r="W14" s="310"/>
      <c r="X14" s="156" t="str">
        <f>IF('Teacher A'!X13+'Teacher B'!X13=0,"",IF(AND('Teacher A'!X13&gt;6,'Teacher B'!X13=0),UPPER($M$2),IF(AND('Teacher B'!X13&gt;6,'Teacher A'!X13=0),UPPER($M$3),IF(AND('Teacher A'!X13&gt;0,'Teacher A'!X13&lt;6,'Teacher B'!X13=0),LOWER($M$2),IF(AND('Teacher B'!X13&lt;6,'Teacher B'!X13&gt;0,'Teacher A'!X13=0),LOWER($M$3),IF(AND('Teacher A'!X13+'Teacher B'!X13&lt;8.5,'Teacher A'!X13+'Teacher B'!X13&gt;0),"Both","Error"))))))</f>
        <v/>
      </c>
      <c r="Y14" s="157" t="str">
        <f>IF('Teacher A'!Y13+'Teacher B'!Y13=0,"",IF(AND('Teacher A'!Y13&gt;6,'Teacher B'!Y13=0),UPPER($M$2),IF(AND('Teacher B'!Y13&gt;6,'Teacher A'!Y13=0),UPPER($M$3),IF(AND('Teacher A'!Y13&gt;0,'Teacher A'!Y13&lt;6,'Teacher B'!Y13=0),LOWER($M$2),IF(AND('Teacher B'!Y13&lt;6,'Teacher B'!Y13&gt;0,'Teacher A'!Y13=0),LOWER($M$3),IF(AND('Teacher A'!Y13+'Teacher B'!Y13&lt;8.5,'Teacher A'!Y13+'Teacher B'!Y13&gt;0),"Both","Error"))))))</f>
        <v/>
      </c>
      <c r="Z14" s="157" t="str">
        <f>IF('Teacher A'!Z13+'Teacher B'!Z13=0,"",IF(AND('Teacher A'!Z13&gt;6,'Teacher B'!Z13=0),UPPER($M$2),IF(AND('Teacher B'!Z13&gt;6,'Teacher A'!Z13=0),UPPER($M$3),IF(AND('Teacher A'!Z13&gt;0,'Teacher A'!Z13&lt;6,'Teacher B'!Z13=0),LOWER($M$2),IF(AND('Teacher B'!Z13&lt;6,'Teacher B'!Z13&gt;0,'Teacher A'!Z13=0),LOWER($M$3),IF(AND('Teacher A'!Z13+'Teacher B'!Z13&lt;8.5,'Teacher A'!Z13+'Teacher B'!Z13&gt;0),"Both","Error"))))))</f>
        <v/>
      </c>
      <c r="AA14" s="157" t="str">
        <f>IF('Teacher A'!AA13+'Teacher B'!AA13=0,"",IF(AND('Teacher A'!AA13&gt;6,'Teacher B'!AA13=0),UPPER($M$2),IF(AND('Teacher B'!AA13&gt;6,'Teacher A'!AA13=0),UPPER($M$3),IF(AND('Teacher A'!AA13&gt;0,'Teacher A'!AA13&lt;6,'Teacher B'!AA13=0),LOWER($M$2),IF(AND('Teacher B'!AA13&lt;6,'Teacher B'!AA13&gt;0,'Teacher A'!AA13=0),LOWER($M$3),IF(AND('Teacher A'!AA13+'Teacher B'!AA13&lt;8.5,'Teacher A'!AA13+'Teacher B'!AA13&gt;0),"Both","Error"))))))</f>
        <v/>
      </c>
      <c r="AB14" s="158" t="str">
        <f>IF('Teacher A'!AB13+'Teacher B'!AB13=0,"",IF(AND('Teacher A'!AB13&gt;6,'Teacher B'!AB13=0),UPPER($M$2),IF(AND('Teacher B'!AB13&gt;6,'Teacher A'!AB13=0),UPPER($M$3),IF(AND('Teacher A'!AB13&gt;0,'Teacher A'!AB13&lt;6,'Teacher B'!AB13=0),LOWER($M$2),IF(AND('Teacher B'!AB13&lt;6,'Teacher B'!AB13&gt;0,'Teacher A'!AB13=0),LOWER($M$3),IF(AND('Teacher A'!AB13+'Teacher B'!AB13&lt;8.5,'Teacher A'!AB13+'Teacher B'!AB13&gt;0),"Both","Error"))))))</f>
        <v/>
      </c>
      <c r="AC14" s="27"/>
    </row>
    <row r="15" spans="1:34" ht="15.75" thickBot="1" x14ac:dyDescent="0.3">
      <c r="A15" s="51"/>
      <c r="B15" s="294"/>
      <c r="C15" s="89">
        <f>IF(AND(YEAR(July1OffSet+30)=BegCalYear,MONTH(July1OffSet+30)=7),July1OffSet+30,"")</f>
        <v>45502</v>
      </c>
      <c r="D15" s="96">
        <f>IF(AND(YEAR(July1OffSet+31)=BegCalYear,MONTH(July1OffSet+31)=7),July1OffSet+31,"")</f>
        <v>45503</v>
      </c>
      <c r="E15" s="96">
        <f>IF(AND(YEAR(July1OffSet+32)=BegCalYear,MONTH(July1OffSet+32)=7),July1OffSet+32,"")</f>
        <v>45504</v>
      </c>
      <c r="F15" s="96" t="str">
        <f>IF(AND(YEAR(July1OffSet+33)=BegCalYear,MONTH(July1OffSet+33)=7),July1OffSet+33,"")</f>
        <v/>
      </c>
      <c r="G15" s="90" t="str">
        <f>IF(AND(YEAR(July1OffSet+34)=BegCalYear,MONTH(July1OffSet+34)=7),July1OffSet+34,"")</f>
        <v/>
      </c>
      <c r="H15" s="160"/>
      <c r="I15" s="311"/>
      <c r="J15" s="89">
        <f>IF(AND(YEAR(OctOffSet+30)=BegCalYear,MONTH(OctOffSet+30)=10),OctOffSet+30,"")</f>
        <v>45593</v>
      </c>
      <c r="K15" s="96">
        <f>IF(AND(YEAR(OctOffSet+31)=BegCalYear,MONTH(OctOffSet+31)=10),OctOffSet+31,"")</f>
        <v>45594</v>
      </c>
      <c r="L15" s="96">
        <f>IF(AND(YEAR(OctOffSet+32)=BegCalYear,MONTH(OctOffSet+32)=10),OctOffSet+32,"")</f>
        <v>45595</v>
      </c>
      <c r="M15" s="96">
        <f>IF(AND(YEAR(OctOffSet+33)=BegCalYear,MONTH(OctOffSet+33)=10),OctOffSet+33,"")</f>
        <v>45596</v>
      </c>
      <c r="N15" s="90" t="str">
        <f>IF(AND(YEAR(OctOffSet+34)=BegCalYear,MONTH(OctOffSet+34)=10),OctOffSet+34,"")</f>
        <v/>
      </c>
      <c r="O15" s="160"/>
      <c r="P15" s="308"/>
      <c r="Q15" s="89">
        <f>IF(AND(YEAR(JanOffSet+30)=CalendarYear,MONTH(JanOffSet+30)=1),JanOffSet+30,"")</f>
        <v>45684</v>
      </c>
      <c r="R15" s="96">
        <f>IF(AND(YEAR(JanOffSet+31)=CalendarYear,MONTH(JanOffSet+31)=1),JanOffSet+31,"")</f>
        <v>45685</v>
      </c>
      <c r="S15" s="96">
        <f>IF(AND(YEAR(JanOffSet+32)=CalendarYear,MONTH(JanOffSet+32)=1),JanOffSet+32,"")</f>
        <v>45686</v>
      </c>
      <c r="T15" s="96">
        <f>IF(AND(YEAR(JanOffSet+33)=CalendarYear,MONTH(JanOffSet+33)=1),JanOffSet+33,"")</f>
        <v>45687</v>
      </c>
      <c r="U15" s="90">
        <f>IF(AND(YEAR(JanOffSet+34)=CalendarYear,MONTH(JanOffSet+34)=1),JanOffSet+34,"")</f>
        <v>45688</v>
      </c>
      <c r="V15" s="160"/>
      <c r="W15" s="311"/>
      <c r="X15" s="89">
        <f>IF(AND(YEAR(AprOffSet+30)=CalendarYear,MONTH(AprOffSet+30)=4),AprOffSet+30,"")</f>
        <v>45775</v>
      </c>
      <c r="Y15" s="96">
        <f>IF(AND(YEAR(AprOffSet+31)=CalendarYear,MONTH(AprOffSet+31)=4),AprOffSet+31,"")</f>
        <v>45776</v>
      </c>
      <c r="Z15" s="96">
        <f>IF(AND(YEAR(AprOffSet+32)=CalendarYear,MONTH(AprOffSet+32)=4),AprOffSet+32,"")</f>
        <v>45777</v>
      </c>
      <c r="AA15" s="96" t="str">
        <f>IF(AND(YEAR(AprOffSet+33)=CalendarYear,MONTH(AprOffSet+33)=4),AprOffSet+33,"")</f>
        <v/>
      </c>
      <c r="AB15" s="90" t="str">
        <f>IF(AND(YEAR(AprOffSet+34)=CalendarYear,MONTH(AprOffSet+34)=4),AprOffSet+34,"")</f>
        <v/>
      </c>
      <c r="AC15" s="44"/>
    </row>
    <row r="16" spans="1:34" ht="15.75" thickBot="1" x14ac:dyDescent="0.3">
      <c r="A16" s="51"/>
      <c r="B16" s="17"/>
      <c r="C16" s="154"/>
      <c r="D16" s="154"/>
      <c r="E16" s="154"/>
      <c r="F16" s="154"/>
      <c r="G16" s="154"/>
      <c r="H16" s="159"/>
      <c r="I16" s="161"/>
      <c r="J16" s="154"/>
      <c r="K16" s="154"/>
      <c r="L16" s="154"/>
      <c r="M16" s="154"/>
      <c r="N16" s="154"/>
      <c r="O16" s="159"/>
      <c r="P16" s="161"/>
      <c r="Q16" s="154"/>
      <c r="R16" s="154"/>
      <c r="S16" s="154"/>
      <c r="T16" s="154"/>
      <c r="U16" s="154"/>
      <c r="V16" s="159"/>
      <c r="W16" s="161"/>
      <c r="X16" s="154"/>
      <c r="Y16" s="154"/>
      <c r="Z16" s="154"/>
      <c r="AA16" s="154"/>
      <c r="AB16" s="154"/>
      <c r="AC16" s="43"/>
    </row>
    <row r="17" spans="1:61" ht="15" customHeight="1" x14ac:dyDescent="0.25">
      <c r="A17" s="51"/>
      <c r="B17" s="269" t="s">
        <v>16</v>
      </c>
      <c r="C17" s="150" t="str">
        <f>IF('Teacher A'!C16+'Teacher B'!C16=0,"",IF(AND('Teacher A'!C16&gt;6,'Teacher B'!C16=0),UPPER($M$2),IF(AND('Teacher B'!C16&gt;6,'Teacher A'!C16=0),UPPER($M$3),IF(AND('Teacher A'!C16&gt;0,'Teacher A'!C16&lt;6,'Teacher B'!C16=0),LOWER($M$2),IF(AND('Teacher B'!C16&lt;6,'Teacher B'!C16&gt;0,'Teacher A'!C16=0),LOWER($M$3),IF(AND('Teacher A'!C16+'Teacher B'!C16&lt;8.5,'Teacher A'!C16+'Teacher B'!C16&gt;0),"Both","Error"))))))</f>
        <v/>
      </c>
      <c r="D17" s="151" t="str">
        <f>IF('Teacher A'!D16+'Teacher B'!D16=0,"",IF(AND('Teacher A'!D16&gt;6,'Teacher B'!D16=0),UPPER($M$2),IF(AND('Teacher B'!D16&gt;6,'Teacher A'!D16=0),UPPER($M$3),IF(AND('Teacher A'!D16&gt;0,'Teacher A'!D16&lt;6,'Teacher B'!D16=0),LOWER($M$2),IF(AND('Teacher B'!D16&lt;6,'Teacher B'!D16&gt;0,'Teacher A'!D16=0),LOWER($M$3),IF(AND('Teacher A'!D16+'Teacher B'!D16&lt;8.5,'Teacher A'!D16+'Teacher B'!D16&gt;0),"Both","Error"))))))</f>
        <v/>
      </c>
      <c r="E17" s="151" t="str">
        <f>IF('Teacher A'!E16+'Teacher B'!E16=0,"",IF(AND('Teacher A'!E16&gt;6,'Teacher B'!E16=0),UPPER($M$2),IF(AND('Teacher B'!E16&gt;6,'Teacher A'!E16=0),UPPER($M$3),IF(AND('Teacher A'!E16&gt;0,'Teacher A'!E16&lt;6,'Teacher B'!E16=0),LOWER($M$2),IF(AND('Teacher B'!E16&lt;6,'Teacher B'!E16&gt;0,'Teacher A'!E16=0),LOWER($M$3),IF(AND('Teacher A'!E16+'Teacher B'!E16&lt;8.5,'Teacher A'!E16+'Teacher B'!E16&gt;0),"Both","Error"))))))</f>
        <v/>
      </c>
      <c r="F17" s="151" t="str">
        <f>IF('Teacher A'!F16+'Teacher B'!F16=0,"",IF(AND('Teacher A'!F16&gt;6,'Teacher B'!F16=0),UPPER($M$2),IF(AND('Teacher B'!F16&gt;6,'Teacher A'!F16=0),UPPER($M$3),IF(AND('Teacher A'!F16&gt;0,'Teacher A'!F16&lt;6,'Teacher B'!F16=0),LOWER($M$2),IF(AND('Teacher B'!F16&lt;6,'Teacher B'!F16&gt;0,'Teacher A'!F16=0),LOWER($M$3),IF(AND('Teacher A'!F16+'Teacher B'!F16&lt;8.5,'Teacher A'!F16+'Teacher B'!F16&gt;0),"Both","Error"))))))</f>
        <v/>
      </c>
      <c r="G17" s="152" t="str">
        <f>IF('Teacher A'!G16+'Teacher B'!G16=0,"",IF(AND('Teacher A'!G16&gt;6,'Teacher B'!G16=0),UPPER($M$2),IF(AND('Teacher B'!G16&gt;6,'Teacher A'!G16=0),UPPER($M$3),IF(AND('Teacher A'!G16&gt;0,'Teacher A'!G16&lt;6,'Teacher B'!G16=0),LOWER($M$2),IF(AND('Teacher B'!G16&lt;6,'Teacher B'!G16&gt;0,'Teacher A'!G16=0),LOWER($M$3),IF(AND('Teacher A'!G16+'Teacher B'!G16&lt;8.5,'Teacher A'!G16+'Teacher B'!G16&gt;0),"Both","Error"))))))</f>
        <v/>
      </c>
      <c r="H17" s="159"/>
      <c r="I17" s="312" t="s">
        <v>17</v>
      </c>
      <c r="J17" s="150" t="str">
        <f>IF('Teacher A'!J16+'Teacher B'!J16=0,"",IF(AND('Teacher A'!J16&gt;6,'Teacher B'!J16=0),UPPER($M$2),IF(AND('Teacher B'!J16&gt;6,'Teacher A'!J16=0),UPPER($M$3),IF(AND('Teacher A'!J16&gt;0,'Teacher A'!J16&lt;6,'Teacher B'!J16=0),LOWER($M$2),IF(AND('Teacher B'!J16&lt;6,'Teacher B'!J16&gt;0,'Teacher A'!J16=0),LOWER($M$3),IF(AND('Teacher A'!J16+'Teacher B'!J16&lt;8.5,'Teacher A'!J16+'Teacher B'!J16&gt;0),"Both","Error"))))))</f>
        <v/>
      </c>
      <c r="K17" s="151" t="str">
        <f>IF('Teacher A'!K16+'Teacher B'!K16=0,"",IF(AND('Teacher A'!K16&gt;6,'Teacher B'!K16=0),UPPER($M$2),IF(AND('Teacher B'!K16&gt;6,'Teacher A'!K16=0),UPPER($M$3),IF(AND('Teacher A'!K16&gt;0,'Teacher A'!K16&lt;6,'Teacher B'!K16=0),LOWER($M$2),IF(AND('Teacher B'!K16&lt;6,'Teacher B'!K16&gt;0,'Teacher A'!K16=0),LOWER($M$3),IF(AND('Teacher A'!K16+'Teacher B'!K16&lt;8.5,'Teacher A'!K16+'Teacher B'!K16&gt;0),"Both","Error"))))))</f>
        <v/>
      </c>
      <c r="L17" s="151" t="str">
        <f>IF('Teacher A'!L16+'Teacher B'!L16=0,"",IF(AND('Teacher A'!L16&gt;6,'Teacher B'!L16=0),UPPER($M$2),IF(AND('Teacher B'!L16&gt;6,'Teacher A'!L16=0),UPPER($M$3),IF(AND('Teacher A'!L16&gt;0,'Teacher A'!L16&lt;6,'Teacher B'!L16=0),LOWER($M$2),IF(AND('Teacher B'!L16&lt;6,'Teacher B'!L16&gt;0,'Teacher A'!L16=0),LOWER($M$3),IF(AND('Teacher A'!L16+'Teacher B'!L16&lt;8.5,'Teacher A'!L16+'Teacher B'!L16&gt;0),"Both","Error"))))))</f>
        <v/>
      </c>
      <c r="M17" s="151" t="str">
        <f>IF('Teacher A'!M16+'Teacher B'!M16=0,"",IF(AND('Teacher A'!M16&gt;6,'Teacher B'!M16=0),UPPER($M$2),IF(AND('Teacher B'!M16&gt;6,'Teacher A'!M16=0),UPPER($M$3),IF(AND('Teacher A'!M16&gt;0,'Teacher A'!M16&lt;6,'Teacher B'!M16=0),LOWER($M$2),IF(AND('Teacher B'!M16&lt;6,'Teacher B'!M16&gt;0,'Teacher A'!M16=0),LOWER($M$3),IF(AND('Teacher A'!M16+'Teacher B'!M16&lt;8.5,'Teacher A'!M16+'Teacher B'!M16&gt;0),"Both","Error"))))))</f>
        <v/>
      </c>
      <c r="N17" s="152" t="str">
        <f>IF('Teacher A'!N16+'Teacher B'!N16=0,"",IF(AND('Teacher A'!N16&gt;6,'Teacher B'!N16=0),UPPER($M$2),IF(AND('Teacher B'!N16&gt;6,'Teacher A'!N16=0),UPPER($M$3),IF(AND('Teacher A'!N16&gt;0,'Teacher A'!N16&lt;6,'Teacher B'!N16=0),LOWER($M$2),IF(AND('Teacher B'!N16&lt;6,'Teacher B'!N16&gt;0,'Teacher A'!N16=0),LOWER($M$3),IF(AND('Teacher A'!N16+'Teacher B'!N16&lt;8.5,'Teacher A'!N16+'Teacher B'!N16&gt;0),"Both","Error"))))))</f>
        <v/>
      </c>
      <c r="O17" s="159"/>
      <c r="P17" s="309" t="s">
        <v>18</v>
      </c>
      <c r="Q17" s="150" t="str">
        <f>IF('Teacher A'!Q16+'Teacher B'!Q16=0,"",IF(AND('Teacher A'!Q16&gt;6,'Teacher B'!Q16=0),UPPER($M$2),IF(AND('Teacher B'!Q16&gt;6,'Teacher A'!Q16=0),UPPER($M$3),IF(AND('Teacher A'!Q16&gt;0,'Teacher A'!Q16&lt;6,'Teacher B'!Q16=0),LOWER($M$2),IF(AND('Teacher B'!Q16&lt;6,'Teacher B'!Q16&gt;0,'Teacher A'!Q16=0),LOWER($M$3),IF(AND('Teacher A'!Q16+'Teacher B'!Q16&lt;8.5,'Teacher A'!Q16+'Teacher B'!Q16&gt;0),"Both","Error"))))))</f>
        <v/>
      </c>
      <c r="R17" s="151" t="str">
        <f>IF('Teacher A'!R16+'Teacher B'!R16=0,"",IF(AND('Teacher A'!R16&gt;6,'Teacher B'!R16=0),UPPER($M$2),IF(AND('Teacher B'!R16&gt;6,'Teacher A'!R16=0),UPPER($M$3),IF(AND('Teacher A'!R16&gt;0,'Teacher A'!R16&lt;6,'Teacher B'!R16=0),LOWER($M$2),IF(AND('Teacher B'!R16&lt;6,'Teacher B'!R16&gt;0,'Teacher A'!R16=0),LOWER($M$3),IF(AND('Teacher A'!R16+'Teacher B'!R16&lt;8.5,'Teacher A'!R16+'Teacher B'!R16&gt;0),"Both","Error"))))))</f>
        <v/>
      </c>
      <c r="S17" s="151" t="str">
        <f>IF('Teacher A'!S16+'Teacher B'!S16=0,"",IF(AND('Teacher A'!S16&gt;6,'Teacher B'!S16=0),UPPER($M$2),IF(AND('Teacher B'!S16&gt;6,'Teacher A'!S16=0),UPPER($M$3),IF(AND('Teacher A'!S16&gt;0,'Teacher A'!S16&lt;6,'Teacher B'!S16=0),LOWER($M$2),IF(AND('Teacher B'!S16&lt;6,'Teacher B'!S16&gt;0,'Teacher A'!S16=0),LOWER($M$3),IF(AND('Teacher A'!S16+'Teacher B'!S16&lt;8.5,'Teacher A'!S16+'Teacher B'!S16&gt;0),"Both","Error"))))))</f>
        <v/>
      </c>
      <c r="T17" s="151" t="str">
        <f>IF('Teacher A'!T16+'Teacher B'!T16=0,"",IF(AND('Teacher A'!T16&gt;6,'Teacher B'!T16=0),UPPER($M$2),IF(AND('Teacher B'!T16&gt;6,'Teacher A'!T16=0),UPPER($M$3),IF(AND('Teacher A'!T16&gt;0,'Teacher A'!T16&lt;6,'Teacher B'!T16=0),LOWER($M$2),IF(AND('Teacher B'!T16&lt;6,'Teacher B'!T16&gt;0,'Teacher A'!T16=0),LOWER($M$3),IF(AND('Teacher A'!T16+'Teacher B'!T16&lt;8.5,'Teacher A'!T16+'Teacher B'!T16&gt;0),"Both","Error"))))))</f>
        <v/>
      </c>
      <c r="U17" s="152" t="str">
        <f>IF('Teacher A'!U16+'Teacher B'!U16=0,"",IF(AND('Teacher A'!U16&gt;6,'Teacher B'!U16=0),UPPER($M$2),IF(AND('Teacher B'!U16&gt;6,'Teacher A'!U16=0),UPPER($M$3),IF(AND('Teacher A'!U16&gt;0,'Teacher A'!U16&lt;6,'Teacher B'!U16=0),LOWER($M$2),IF(AND('Teacher B'!U16&lt;6,'Teacher B'!U16&gt;0,'Teacher A'!U16=0),LOWER($M$3),IF(AND('Teacher A'!U16+'Teacher B'!U16&lt;8.5,'Teacher A'!U16+'Teacher B'!U16&gt;0),"Both","Error"))))))</f>
        <v/>
      </c>
      <c r="V17" s="159"/>
      <c r="W17" s="309" t="s">
        <v>19</v>
      </c>
      <c r="X17" s="150" t="str">
        <f>IF('Teacher A'!X16+'Teacher B'!X16=0,"",IF(AND('Teacher A'!X16&gt;6,'Teacher B'!X16=0),UPPER($M$2),IF(AND('Teacher B'!X16&gt;6,'Teacher A'!X16=0),UPPER($M$3),IF(AND('Teacher A'!X16&gt;0,'Teacher A'!X16&lt;6,'Teacher B'!X16=0),LOWER($M$2),IF(AND('Teacher B'!X16&lt;6,'Teacher B'!X16&gt;0,'Teacher A'!X16=0),LOWER($M$3),IF(AND('Teacher A'!X16+'Teacher B'!X16&lt;8.5,'Teacher A'!X16+'Teacher B'!X16&gt;0),"Both","Error"))))))</f>
        <v/>
      </c>
      <c r="Y17" s="151" t="str">
        <f>IF('Teacher A'!Y16+'Teacher B'!Y16=0,"",IF(AND('Teacher A'!Y16&gt;6,'Teacher B'!Y16=0),UPPER($M$2),IF(AND('Teacher B'!Y16&gt;6,'Teacher A'!Y16=0),UPPER($M$3),IF(AND('Teacher A'!Y16&gt;0,'Teacher A'!Y16&lt;6,'Teacher B'!Y16=0),LOWER($M$2),IF(AND('Teacher B'!Y16&lt;6,'Teacher B'!Y16&gt;0,'Teacher A'!Y16=0),LOWER($M$3),IF(AND('Teacher A'!Y16+'Teacher B'!Y16&lt;8.5,'Teacher A'!Y16+'Teacher B'!Y16&gt;0),"Both","Error"))))))</f>
        <v/>
      </c>
      <c r="Z17" s="151" t="str">
        <f>IF('Teacher A'!Z16+'Teacher B'!Z16=0,"",IF(AND('Teacher A'!Z16&gt;6,'Teacher B'!Z16=0),UPPER($M$2),IF(AND('Teacher B'!Z16&gt;6,'Teacher A'!Z16=0),UPPER($M$3),IF(AND('Teacher A'!Z16&gt;0,'Teacher A'!Z16&lt;6,'Teacher B'!Z16=0),LOWER($M$2),IF(AND('Teacher B'!Z16&lt;6,'Teacher B'!Z16&gt;0,'Teacher A'!Z16=0),LOWER($M$3),IF(AND('Teacher A'!Z16+'Teacher B'!Z16&lt;8.5,'Teacher A'!Z16+'Teacher B'!Z16&gt;0),"Both","Error"))))))</f>
        <v/>
      </c>
      <c r="AA17" s="151" t="str">
        <f>IF('Teacher A'!AA16+'Teacher B'!AA16=0,"",IF(AND('Teacher A'!AA16&gt;6,'Teacher B'!AA16=0),UPPER($M$2),IF(AND('Teacher B'!AA16&gt;6,'Teacher A'!AA16=0),UPPER($M$3),IF(AND('Teacher A'!AA16&gt;0,'Teacher A'!AA16&lt;6,'Teacher B'!AA16=0),LOWER($M$2),IF(AND('Teacher B'!AA16&lt;6,'Teacher B'!AA16&gt;0,'Teacher A'!AA16=0),LOWER($M$3),IF(AND('Teacher A'!AA16+'Teacher B'!AA16&lt;8.5,'Teacher A'!AA16+'Teacher B'!AA16&gt;0),"Both","Error"))))))</f>
        <v/>
      </c>
      <c r="AB17" s="152" t="str">
        <f>IF('Teacher A'!AB16+'Teacher B'!AB16=0,"",IF(AND('Teacher A'!AB16&gt;6,'Teacher B'!AB16=0),UPPER($M$2),IF(AND('Teacher B'!AB16&gt;6,'Teacher A'!AB16=0),UPPER($M$3),IF(AND('Teacher A'!AB16&gt;0,'Teacher A'!AB16&lt;6,'Teacher B'!AB16=0),LOWER($M$2),IF(AND('Teacher B'!AB16&lt;6,'Teacher B'!AB16&gt;0,'Teacher A'!AB16=0),LOWER($M$3),IF(AND('Teacher A'!AB16+'Teacher B'!AB16&lt;8.5,'Teacher A'!AB16+'Teacher B'!AB16&gt;0),"Both","Error"))))))</f>
        <v/>
      </c>
      <c r="AC17" s="43"/>
    </row>
    <row r="18" spans="1:61" x14ac:dyDescent="0.25">
      <c r="A18" s="51"/>
      <c r="B18" s="270"/>
      <c r="C18" s="88" t="str">
        <f>IF(AND(YEAR(AugOffSet+2)=BegCalYear,MONTH(AugOffSet+2)=8),AugOffSet+2,"")</f>
        <v/>
      </c>
      <c r="D18" s="197" t="str">
        <f>IF(AND(YEAR(AugOffSet+3)=BegCalYear,MONTH(AugOffSet+3)=8),AugOffSet+3,"")</f>
        <v/>
      </c>
      <c r="E18" s="197" t="str">
        <f>IF(AND(YEAR(AugOffSet+4)=BegCalYear,MONTH(AugOffSet+4)=8),AugOffSet+4,"")</f>
        <v/>
      </c>
      <c r="F18" s="197">
        <f>IF(AND(YEAR(AugOffSet+5)=BegCalYear,MONTH(AugOffSet+5)=8),AugOffSet+5,"")</f>
        <v>45505</v>
      </c>
      <c r="G18" s="198">
        <f>IF(AND(YEAR(AugOffSet+6)=BegCalYear,MONTH(AugOffSet+6)=8),AugOffSet+6,"")</f>
        <v>45506</v>
      </c>
      <c r="H18" s="159"/>
      <c r="I18" s="313"/>
      <c r="J18" s="88"/>
      <c r="K18" s="197" t="str">
        <f>IF(AND(YEAR(NovOffSet+3)=BegCalYear,MONTH(NovOffSet+3)=11),NovOffSet+3,"")</f>
        <v/>
      </c>
      <c r="L18" s="197" t="str">
        <f>IF(AND(YEAR(NovOffSet+4)=BegCalYear,MONTH(NovOffSet+4)=11),NovOffSet+4,"")</f>
        <v/>
      </c>
      <c r="M18" s="197" t="str">
        <f>IF(AND(YEAR(NovOffSet+5)=BegCalYear,MONTH(NovOffSet+5)=11),NovOffSet+5,"")</f>
        <v/>
      </c>
      <c r="N18" s="198">
        <f>IF(AND(YEAR(NovOffSet+6)=BegCalYear,MONTH(NovOffSet+6)=11),NovOffSet+6,"")</f>
        <v>45597</v>
      </c>
      <c r="O18" s="159"/>
      <c r="P18" s="310"/>
      <c r="Q18" s="88" t="str">
        <f>IF(AND(YEAR(FebOffSet+2)=CalendarYear,MONTH(FebOffSet+2)=2),FebOffSet+2,"")</f>
        <v/>
      </c>
      <c r="R18" s="197" t="str">
        <f>IF(AND(YEAR(FebOffSet+3)=CalendarYear,MONTH(FebOffSet+3)=2),FebOffSet+3,"")</f>
        <v/>
      </c>
      <c r="S18" s="197" t="str">
        <f>IF(AND(YEAR(FebOffSet+4)=CalendarYear,MONTH(FebOffSet+4)=2),FebOffSet+4,"")</f>
        <v/>
      </c>
      <c r="T18" s="197" t="str">
        <f>IF(AND(YEAR(FebOffSet+5)=CalendarYear,MONTH(FebOffSet+5)=2),FebOffSet+5,"")</f>
        <v/>
      </c>
      <c r="U18" s="198" t="str">
        <f>IF(AND(YEAR(FebOffSet+6)=CalendarYear,MONTH(FebOffSet+6)=2),FebOffSet+6,"")</f>
        <v/>
      </c>
      <c r="V18" s="159"/>
      <c r="W18" s="310"/>
      <c r="X18" s="88" t="str">
        <f>IF(AND(YEAR(MayOffSet+2)=CalendarYear,MONTH(MayOffSet+2)=5),MayOffSet+2,"")</f>
        <v/>
      </c>
      <c r="Y18" s="197" t="str">
        <f>IF(AND(YEAR(MayOffSet+3)=CalendarYear,MONTH(MayOffSet+3)=5),MayOffSet+3,"")</f>
        <v/>
      </c>
      <c r="Z18" s="197" t="str">
        <f>IF(AND(YEAR(MayOffSet+4)=CalendarYear,MONTH(MayOffSet+4)=5),MayOffSet+4,"")</f>
        <v/>
      </c>
      <c r="AA18" s="197">
        <f>IF(AND(YEAR(MayOffSet+5)=CalendarYear,MONTH(MayOffSet+5)=5),MayOffSet+5,"")</f>
        <v>45778</v>
      </c>
      <c r="AB18" s="198">
        <f>IF(AND(YEAR(MayOffSet+6)=CalendarYear,MONTH(MayOffSet+6)=5),MayOffSet+6,"")</f>
        <v>45779</v>
      </c>
      <c r="AC18" s="43"/>
    </row>
    <row r="19" spans="1:61" x14ac:dyDescent="0.25">
      <c r="A19" s="51"/>
      <c r="B19" s="270"/>
      <c r="C19" s="156" t="str">
        <f>IF('Teacher A'!C18+'Teacher B'!C18=0,"",IF(AND('Teacher A'!C18&gt;6,'Teacher B'!C18=0),UPPER($M$2),IF(AND('Teacher B'!C18&gt;6,'Teacher A'!C18=0),UPPER($M$3),IF(AND('Teacher A'!C18&gt;0,'Teacher A'!C18&lt;6,'Teacher B'!C18=0),LOWER($M$2),IF(AND('Teacher B'!C18&lt;6,'Teacher B'!C18&gt;0,'Teacher A'!C18=0),LOWER($M$3),IF(AND('Teacher A'!C18+'Teacher B'!C18&lt;8.5,'Teacher A'!C18+'Teacher B'!C18&gt;0),"Both","Error"))))))</f>
        <v/>
      </c>
      <c r="D19" s="157" t="str">
        <f>IF('Teacher A'!D18+'Teacher B'!D18=0,"",IF(AND('Teacher A'!D18&gt;6,'Teacher B'!D18=0),UPPER($M$2),IF(AND('Teacher B'!D18&gt;6,'Teacher A'!D18=0),UPPER($M$3),IF(AND('Teacher A'!D18&gt;0,'Teacher A'!D18&lt;6,'Teacher B'!D18=0),LOWER($M$2),IF(AND('Teacher B'!D18&lt;6,'Teacher B'!D18&gt;0,'Teacher A'!D18=0),LOWER($M$3),IF(AND('Teacher A'!D18+'Teacher B'!D18&lt;8.5,'Teacher A'!D18+'Teacher B'!D18&gt;0),"Both","Error"))))))</f>
        <v/>
      </c>
      <c r="E19" s="157" t="str">
        <f>IF('Teacher A'!E18+'Teacher B'!E18=0,"",IF(AND('Teacher A'!E18&gt;6,'Teacher B'!E18=0),UPPER($M$2),IF(AND('Teacher B'!E18&gt;6,'Teacher A'!E18=0),UPPER($M$3),IF(AND('Teacher A'!E18&gt;0,'Teacher A'!E18&lt;6,'Teacher B'!E18=0),LOWER($M$2),IF(AND('Teacher B'!E18&lt;6,'Teacher B'!E18&gt;0,'Teacher A'!E18=0),LOWER($M$3),IF(AND('Teacher A'!E18+'Teacher B'!E18&lt;8.5,'Teacher A'!E18+'Teacher B'!E18&gt;0),"Both","Error"))))))</f>
        <v/>
      </c>
      <c r="F19" s="157" t="str">
        <f>IF('Teacher A'!F18+'Teacher B'!F18=0,"",IF(AND('Teacher A'!F18&gt;6,'Teacher B'!F18=0),UPPER($M$2),IF(AND('Teacher B'!F18&gt;6,'Teacher A'!F18=0),UPPER($M$3),IF(AND('Teacher A'!F18&gt;0,'Teacher A'!F18&lt;6,'Teacher B'!F18=0),LOWER($M$2),IF(AND('Teacher B'!F18&lt;6,'Teacher B'!F18&gt;0,'Teacher A'!F18=0),LOWER($M$3),IF(AND('Teacher A'!F18+'Teacher B'!F18&lt;8.5,'Teacher A'!F18+'Teacher B'!F18&gt;0),"Both","Error"))))))</f>
        <v/>
      </c>
      <c r="G19" s="158" t="str">
        <f>IF('Teacher A'!G18+'Teacher B'!G18=0,"",IF(AND('Teacher A'!G18&gt;6,'Teacher B'!G18=0),UPPER($M$2),IF(AND('Teacher B'!G18&gt;6,'Teacher A'!G18=0),UPPER($M$3),IF(AND('Teacher A'!G18&gt;0,'Teacher A'!G18&lt;6,'Teacher B'!G18=0),LOWER($M$2),IF(AND('Teacher B'!G18&lt;6,'Teacher B'!G18&gt;0,'Teacher A'!G18=0),LOWER($M$3),IF(AND('Teacher A'!G18+'Teacher B'!G18&lt;8.5,'Teacher A'!G18+'Teacher B'!G18&gt;0),"Both","Error"))))))</f>
        <v/>
      </c>
      <c r="H19" s="159"/>
      <c r="I19" s="313"/>
      <c r="J19" s="156" t="str">
        <f>IF('Teacher A'!J18+'Teacher B'!J18=0,"",IF(AND('Teacher A'!J18&gt;6,'Teacher B'!J18=0),UPPER($M$2),IF(AND('Teacher B'!J18&gt;6,'Teacher A'!J18=0),UPPER($M$3),IF(AND('Teacher A'!J18&gt;0,'Teacher A'!J18&lt;6,'Teacher B'!J18=0),LOWER($M$2),IF(AND('Teacher B'!J18&lt;6,'Teacher B'!J18&gt;0,'Teacher A'!J18=0),LOWER($M$3),IF(AND('Teacher A'!J18+'Teacher B'!J18&lt;8.5,'Teacher A'!J18+'Teacher B'!J18&gt;0),"Both","Error"))))))</f>
        <v/>
      </c>
      <c r="K19" s="157" t="str">
        <f>IF('Teacher A'!K18+'Teacher B'!K18=0,"",IF(AND('Teacher A'!K18&gt;6,'Teacher B'!K18=0),UPPER($M$2),IF(AND('Teacher B'!K18&gt;6,'Teacher A'!K18=0),UPPER($M$3),IF(AND('Teacher A'!K18&gt;0,'Teacher A'!K18&lt;6,'Teacher B'!K18=0),LOWER($M$2),IF(AND('Teacher B'!K18&lt;6,'Teacher B'!K18&gt;0,'Teacher A'!K18=0),LOWER($M$3),IF(AND('Teacher A'!K18+'Teacher B'!K18&lt;8.5,'Teacher A'!K18+'Teacher B'!K18&gt;0),"Both","Error"))))))</f>
        <v/>
      </c>
      <c r="L19" s="157" t="str">
        <f>IF('Teacher A'!L18+'Teacher B'!L18=0,"",IF(AND('Teacher A'!L18&gt;6,'Teacher B'!L18=0),UPPER($M$2),IF(AND('Teacher B'!L18&gt;6,'Teacher A'!L18=0),UPPER($M$3),IF(AND('Teacher A'!L18&gt;0,'Teacher A'!L18&lt;6,'Teacher B'!L18=0),LOWER($M$2),IF(AND('Teacher B'!L18&lt;6,'Teacher B'!L18&gt;0,'Teacher A'!L18=0),LOWER($M$3),IF(AND('Teacher A'!L18+'Teacher B'!L18&lt;8.5,'Teacher A'!L18+'Teacher B'!L18&gt;0),"Both","Error"))))))</f>
        <v/>
      </c>
      <c r="M19" s="157" t="str">
        <f>IF('Teacher A'!M18+'Teacher B'!M18=0,"",IF(AND('Teacher A'!M18&gt;6,'Teacher B'!M18=0),UPPER($M$2),IF(AND('Teacher B'!M18&gt;6,'Teacher A'!M18=0),UPPER($M$3),IF(AND('Teacher A'!M18&gt;0,'Teacher A'!M18&lt;6,'Teacher B'!M18=0),LOWER($M$2),IF(AND('Teacher B'!M18&lt;6,'Teacher B'!M18&gt;0,'Teacher A'!M18=0),LOWER($M$3),IF(AND('Teacher A'!M18+'Teacher B'!M18&lt;8.5,'Teacher A'!M18+'Teacher B'!M18&gt;0),"Both","Error"))))))</f>
        <v/>
      </c>
      <c r="N19" s="158" t="str">
        <f>IF('Teacher A'!N18+'Teacher B'!N18=0,"",IF(AND('Teacher A'!N18&gt;6,'Teacher B'!N18=0),UPPER($M$2),IF(AND('Teacher B'!N18&gt;6,'Teacher A'!N18=0),UPPER($M$3),IF(AND('Teacher A'!N18&gt;0,'Teacher A'!N18&lt;6,'Teacher B'!N18=0),LOWER($M$2),IF(AND('Teacher B'!N18&lt;6,'Teacher B'!N18&gt;0,'Teacher A'!N18=0),LOWER($M$3),IF(AND('Teacher A'!N18+'Teacher B'!N18&lt;8.5,'Teacher A'!N18+'Teacher B'!N18&gt;0),"Both","Error"))))))</f>
        <v/>
      </c>
      <c r="O19" s="159"/>
      <c r="P19" s="310"/>
      <c r="Q19" s="156" t="str">
        <f>IF('Teacher A'!Q18+'Teacher B'!Q18=0,"",IF(AND('Teacher A'!Q18&gt;6,'Teacher B'!Q18=0),UPPER($M$2),IF(AND('Teacher B'!Q18&gt;6,'Teacher A'!Q18=0),UPPER($M$3),IF(AND('Teacher A'!Q18&gt;0,'Teacher A'!Q18&lt;6,'Teacher B'!Q18=0),LOWER($M$2),IF(AND('Teacher B'!Q18&lt;6,'Teacher B'!Q18&gt;0,'Teacher A'!Q18=0),LOWER($M$3),IF(AND('Teacher A'!Q18+'Teacher B'!Q18&lt;8.5,'Teacher A'!Q18+'Teacher B'!Q18&gt;0),"Both","Error"))))))</f>
        <v/>
      </c>
      <c r="R19" s="157" t="str">
        <f>IF('Teacher A'!R18+'Teacher B'!R18=0,"",IF(AND('Teacher A'!R18&gt;6,'Teacher B'!R18=0),UPPER($M$2),IF(AND('Teacher B'!R18&gt;6,'Teacher A'!R18=0),UPPER($M$3),IF(AND('Teacher A'!R18&gt;0,'Teacher A'!R18&lt;6,'Teacher B'!R18=0),LOWER($M$2),IF(AND('Teacher B'!R18&lt;6,'Teacher B'!R18&gt;0,'Teacher A'!R18=0),LOWER($M$3),IF(AND('Teacher A'!R18+'Teacher B'!R18&lt;8.5,'Teacher A'!R18+'Teacher B'!R18&gt;0),"Both","Error"))))))</f>
        <v/>
      </c>
      <c r="S19" s="157" t="str">
        <f>IF('Teacher A'!S18+'Teacher B'!S18=0,"",IF(AND('Teacher A'!S18&gt;6,'Teacher B'!S18=0),UPPER($M$2),IF(AND('Teacher B'!S18&gt;6,'Teacher A'!S18=0),UPPER($M$3),IF(AND('Teacher A'!S18&gt;0,'Teacher A'!S18&lt;6,'Teacher B'!S18=0),LOWER($M$2),IF(AND('Teacher B'!S18&lt;6,'Teacher B'!S18&gt;0,'Teacher A'!S18=0),LOWER($M$3),IF(AND('Teacher A'!S18+'Teacher B'!S18&lt;8.5,'Teacher A'!S18+'Teacher B'!S18&gt;0),"Both","Error"))))))</f>
        <v/>
      </c>
      <c r="T19" s="157" t="str">
        <f>IF('Teacher A'!T18+'Teacher B'!T18=0,"",IF(AND('Teacher A'!T18&gt;6,'Teacher B'!T18=0),UPPER($M$2),IF(AND('Teacher B'!T18&gt;6,'Teacher A'!T18=0),UPPER($M$3),IF(AND('Teacher A'!T18&gt;0,'Teacher A'!T18&lt;6,'Teacher B'!T18=0),LOWER($M$2),IF(AND('Teacher B'!T18&lt;6,'Teacher B'!T18&gt;0,'Teacher A'!T18=0),LOWER($M$3),IF(AND('Teacher A'!T18+'Teacher B'!T18&lt;8.5,'Teacher A'!T18+'Teacher B'!T18&gt;0),"Both","Error"))))))</f>
        <v/>
      </c>
      <c r="U19" s="158" t="str">
        <f>IF('Teacher A'!U18+'Teacher B'!U18=0,"",IF(AND('Teacher A'!U18&gt;6,'Teacher B'!U18=0),UPPER($M$2),IF(AND('Teacher B'!U18&gt;6,'Teacher A'!U18=0),UPPER($M$3),IF(AND('Teacher A'!U18&gt;0,'Teacher A'!U18&lt;6,'Teacher B'!U18=0),LOWER($M$2),IF(AND('Teacher B'!U18&lt;6,'Teacher B'!U18&gt;0,'Teacher A'!U18=0),LOWER($M$3),IF(AND('Teacher A'!U18+'Teacher B'!U18&lt;8.5,'Teacher A'!U18+'Teacher B'!U18&gt;0),"Both","Error"))))))</f>
        <v/>
      </c>
      <c r="V19" s="159"/>
      <c r="W19" s="310"/>
      <c r="X19" s="156" t="str">
        <f>IF('Teacher A'!X18+'Teacher B'!X18=0,"",IF(AND('Teacher A'!X18&gt;6,'Teacher B'!X18=0),UPPER($M$2),IF(AND('Teacher B'!X18&gt;6,'Teacher A'!X18=0),UPPER($M$3),IF(AND('Teacher A'!X18&gt;0,'Teacher A'!X18&lt;6,'Teacher B'!X18=0),LOWER($M$2),IF(AND('Teacher B'!X18&lt;6,'Teacher B'!X18&gt;0,'Teacher A'!X18=0),LOWER($M$3),IF(AND('Teacher A'!X18+'Teacher B'!X18&lt;8.5,'Teacher A'!X18+'Teacher B'!X18&gt;0),"Both","Error"))))))</f>
        <v/>
      </c>
      <c r="Y19" s="157" t="str">
        <f>IF('Teacher A'!Y18+'Teacher B'!Y18=0,"",IF(AND('Teacher A'!Y18&gt;6,'Teacher B'!Y18=0),UPPER($M$2),IF(AND('Teacher B'!Y18&gt;6,'Teacher A'!Y18=0),UPPER($M$3),IF(AND('Teacher A'!Y18&gt;0,'Teacher A'!Y18&lt;6,'Teacher B'!Y18=0),LOWER($M$2),IF(AND('Teacher B'!Y18&lt;6,'Teacher B'!Y18&gt;0,'Teacher A'!Y18=0),LOWER($M$3),IF(AND('Teacher A'!Y18+'Teacher B'!Y18&lt;8.5,'Teacher A'!Y18+'Teacher B'!Y18&gt;0),"Both","Error"))))))</f>
        <v/>
      </c>
      <c r="Z19" s="157" t="str">
        <f>IF('Teacher A'!Z18+'Teacher B'!Z18=0,"",IF(AND('Teacher A'!Z18&gt;6,'Teacher B'!Z18=0),UPPER($M$2),IF(AND('Teacher B'!Z18&gt;6,'Teacher A'!Z18=0),UPPER($M$3),IF(AND('Teacher A'!Z18&gt;0,'Teacher A'!Z18&lt;6,'Teacher B'!Z18=0),LOWER($M$2),IF(AND('Teacher B'!Z18&lt;6,'Teacher B'!Z18&gt;0,'Teacher A'!Z18=0),LOWER($M$3),IF(AND('Teacher A'!Z18+'Teacher B'!Z18&lt;8.5,'Teacher A'!Z18+'Teacher B'!Z18&gt;0),"Both","Error"))))))</f>
        <v/>
      </c>
      <c r="AA19" s="157" t="str">
        <f>IF('Teacher A'!AA18+'Teacher B'!AA18=0,"",IF(AND('Teacher A'!AA18&gt;6,'Teacher B'!AA18=0),UPPER($M$2),IF(AND('Teacher B'!AA18&gt;6,'Teacher A'!AA18=0),UPPER($M$3),IF(AND('Teacher A'!AA18&gt;0,'Teacher A'!AA18&lt;6,'Teacher B'!AA18=0),LOWER($M$2),IF(AND('Teacher B'!AA18&lt;6,'Teacher B'!AA18&gt;0,'Teacher A'!AA18=0),LOWER($M$3),IF(AND('Teacher A'!AA18+'Teacher B'!AA18&lt;8.5,'Teacher A'!AA18+'Teacher B'!AA18&gt;0),"Both","Error"))))))</f>
        <v/>
      </c>
      <c r="AB19" s="158" t="str">
        <f>IF('Teacher A'!AB18+'Teacher B'!AB18=0,"",IF(AND('Teacher A'!AB18&gt;6,'Teacher B'!AB18=0),UPPER($M$2),IF(AND('Teacher B'!AB18&gt;6,'Teacher A'!AB18=0),UPPER($M$3),IF(AND('Teacher A'!AB18&gt;0,'Teacher A'!AB18&lt;6,'Teacher B'!AB18=0),LOWER($M$2),IF(AND('Teacher B'!AB18&lt;6,'Teacher B'!AB18&gt;0,'Teacher A'!AB18=0),LOWER($M$3),IF(AND('Teacher A'!AB18+'Teacher B'!AB18&lt;8.5,'Teacher A'!AB18+'Teacher B'!AB18&gt;0),"Both","Error"))))))</f>
        <v/>
      </c>
      <c r="AC19" s="43"/>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row>
    <row r="20" spans="1:61" x14ac:dyDescent="0.25">
      <c r="A20" s="51"/>
      <c r="B20" s="270"/>
      <c r="C20" s="88">
        <f>IF(AND(YEAR(AugOffSet+9)=BegCalYear,MONTH(AugOffSet+9)=8),AugOffSet+9,"")</f>
        <v>45509</v>
      </c>
      <c r="D20" s="197">
        <f>IF(AND(YEAR(AugOffSet+10)=BegCalYear,MONTH(AugOffSet+10)=8),AugOffSet+10,"")</f>
        <v>45510</v>
      </c>
      <c r="E20" s="197">
        <f>IF(AND(YEAR(AugOffSet+11)=BegCalYear,MONTH(AugOffSet+11)=8),AugOffSet+11,"")</f>
        <v>45511</v>
      </c>
      <c r="F20" s="197">
        <f>IF(AND(YEAR(AugOffSet+12)=BegCalYear,MONTH(AugOffSet+12)=8),AugOffSet+12,"")</f>
        <v>45512</v>
      </c>
      <c r="G20" s="198">
        <f>IF(AND(YEAR(AugOffSet+13)=BegCalYear,MONTH(AugOffSet+13)=8),AugOffSet+13,"")</f>
        <v>45513</v>
      </c>
      <c r="H20" s="159"/>
      <c r="I20" s="313"/>
      <c r="J20" s="88">
        <f>IF(AND(YEAR(NovOffSet+9)=BegCalYear,MONTH(NovOffSet+9)=11),NovOffSet+9,"")</f>
        <v>45600</v>
      </c>
      <c r="K20" s="197">
        <f>IF(AND(YEAR(NovOffSet+10)=BegCalYear,MONTH(NovOffSet+10)=11),NovOffSet+10,"")</f>
        <v>45601</v>
      </c>
      <c r="L20" s="197">
        <f>IF(AND(YEAR(NovOffSet+11)=BegCalYear,MONTH(NovOffSet+11)=11),NovOffSet+11,"")</f>
        <v>45602</v>
      </c>
      <c r="M20" s="197">
        <f>IF(AND(YEAR(NovOffSet+12)=BegCalYear,MONTH(NovOffSet+12)=11),NovOffSet+12,"")</f>
        <v>45603</v>
      </c>
      <c r="N20" s="198">
        <f>IF(AND(YEAR(NovOffSet+13)=BegCalYear,MONTH(NovOffSet+13)=11),NovOffSet+13,"")</f>
        <v>45604</v>
      </c>
      <c r="O20" s="159"/>
      <c r="P20" s="310"/>
      <c r="Q20" s="88">
        <f>IF(AND(YEAR(FebOffSet+9)=CalendarYear,MONTH(FebOffSet+9)=2),FebOffSet+9,"")</f>
        <v>45691</v>
      </c>
      <c r="R20" s="197">
        <f>IF(AND(YEAR(FebOffSet+10)=CalendarYear,MONTH(FebOffSet+10)=2),FebOffSet+10,"")</f>
        <v>45692</v>
      </c>
      <c r="S20" s="197">
        <f>IF(AND(YEAR(FebOffSet+11)=CalendarYear,MONTH(FebOffSet+11)=2),FebOffSet+11,"")</f>
        <v>45693</v>
      </c>
      <c r="T20" s="197">
        <f>IF(AND(YEAR(FebOffSet+12)=CalendarYear,MONTH(FebOffSet+12)=2),FebOffSet+12,"")</f>
        <v>45694</v>
      </c>
      <c r="U20" s="198">
        <f>IF(AND(YEAR(FebOffSet+13)=CalendarYear,MONTH(FebOffSet+13)=2),FebOffSet+13,"")</f>
        <v>45695</v>
      </c>
      <c r="V20" s="159"/>
      <c r="W20" s="310"/>
      <c r="X20" s="88">
        <f>IF(AND(YEAR(MayOffSet+9)=CalendarYear,MONTH(MayOffSet+9)=5),MayOffSet+9,"")</f>
        <v>45782</v>
      </c>
      <c r="Y20" s="197">
        <f>IF(AND(YEAR(MayOffSet+10)=CalendarYear,MONTH(MayOffSet+10)=5),MayOffSet+10,"")</f>
        <v>45783</v>
      </c>
      <c r="Z20" s="197">
        <f>IF(AND(YEAR(MayOffSet+11)=CalendarYear,MONTH(MayOffSet+11)=5),MayOffSet+11,"")</f>
        <v>45784</v>
      </c>
      <c r="AA20" s="197">
        <f>IF(AND(YEAR(MayOffSet+12)=CalendarYear,MONTH(MayOffSet+12)=5),MayOffSet+12,"")</f>
        <v>45785</v>
      </c>
      <c r="AB20" s="198">
        <f>IF(AND(YEAR(MayOffSet+13)=CalendarYear,MONTH(MayOffSet+13)=5),MayOffSet+13,"")</f>
        <v>45786</v>
      </c>
      <c r="AC20" s="43"/>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row>
    <row r="21" spans="1:61" x14ac:dyDescent="0.25">
      <c r="A21" s="51"/>
      <c r="B21" s="270"/>
      <c r="C21" s="156" t="str">
        <f>IF('Teacher A'!C20+'Teacher B'!C20=0,"",IF(AND('Teacher A'!C20&gt;6,'Teacher B'!C20=0),UPPER($M$2),IF(AND('Teacher B'!C20&gt;6,'Teacher A'!C20=0),UPPER($M$3),IF(AND('Teacher A'!C20&gt;0,'Teacher A'!C20&lt;6,'Teacher B'!C20=0),LOWER($M$2),IF(AND('Teacher B'!C20&lt;6,'Teacher B'!C20&gt;0,'Teacher A'!C20=0),LOWER($M$3),IF(AND('Teacher A'!C20+'Teacher B'!C20&lt;8.5,'Teacher A'!C20+'Teacher B'!C20&gt;0),"Both","Error"))))))</f>
        <v/>
      </c>
      <c r="D21" s="157" t="str">
        <f>IF('Teacher A'!D20+'Teacher B'!D20=0,"",IF(AND('Teacher A'!D20&gt;6,'Teacher B'!D20=0),UPPER($M$2),IF(AND('Teacher B'!D20&gt;6,'Teacher A'!D20=0),UPPER($M$3),IF(AND('Teacher A'!D20&gt;0,'Teacher A'!D20&lt;6,'Teacher B'!D20=0),LOWER($M$2),IF(AND('Teacher B'!D20&lt;6,'Teacher B'!D20&gt;0,'Teacher A'!D20=0),LOWER($M$3),IF(AND('Teacher A'!D20+'Teacher B'!D20&lt;8.5,'Teacher A'!D20+'Teacher B'!D20&gt;0),"Both","Error"))))))</f>
        <v/>
      </c>
      <c r="E21" s="157" t="str">
        <f>IF('Teacher A'!E20+'Teacher B'!E20=0,"",IF(AND('Teacher A'!E20&gt;6,'Teacher B'!E20=0),UPPER($M$2),IF(AND('Teacher B'!E20&gt;6,'Teacher A'!E20=0),UPPER($M$3),IF(AND('Teacher A'!E20&gt;0,'Teacher A'!E20&lt;6,'Teacher B'!E20=0),LOWER($M$2),IF(AND('Teacher B'!E20&lt;6,'Teacher B'!E20&gt;0,'Teacher A'!E20=0),LOWER($M$3),IF(AND('Teacher A'!E20+'Teacher B'!E20&lt;8.5,'Teacher A'!E20+'Teacher B'!E20&gt;0),"Both","Error"))))))</f>
        <v/>
      </c>
      <c r="F21" s="157" t="str">
        <f>IF('Teacher A'!F20+'Teacher B'!F20=0,"",IF(AND('Teacher A'!F20&gt;6,'Teacher B'!F20=0),UPPER($M$2),IF(AND('Teacher B'!F20&gt;6,'Teacher A'!F20=0),UPPER($M$3),IF(AND('Teacher A'!F20&gt;0,'Teacher A'!F20&lt;6,'Teacher B'!F20=0),LOWER($M$2),IF(AND('Teacher B'!F20&lt;6,'Teacher B'!F20&gt;0,'Teacher A'!F20=0),LOWER($M$3),IF(AND('Teacher A'!F20+'Teacher B'!F20&lt;8.5,'Teacher A'!F20+'Teacher B'!F20&gt;0),"Both","Error"))))))</f>
        <v/>
      </c>
      <c r="G21" s="158" t="str">
        <f>IF('Teacher A'!G20+'Teacher B'!G20=0,"",IF(AND('Teacher A'!G20&gt;6,'Teacher B'!G20=0),UPPER($M$2),IF(AND('Teacher B'!G20&gt;6,'Teacher A'!G20=0),UPPER($M$3),IF(AND('Teacher A'!G20&gt;0,'Teacher A'!G20&lt;6,'Teacher B'!G20=0),LOWER($M$2),IF(AND('Teacher B'!G20&lt;6,'Teacher B'!G20&gt;0,'Teacher A'!G20=0),LOWER($M$3),IF(AND('Teacher A'!G20+'Teacher B'!G20&lt;8.5,'Teacher A'!G20+'Teacher B'!G20&gt;0),"Both","Error"))))))</f>
        <v/>
      </c>
      <c r="H21" s="159"/>
      <c r="I21" s="313"/>
      <c r="J21" s="156" t="str">
        <f>IF('Teacher A'!J20+'Teacher B'!J20=0,"",IF(AND('Teacher A'!J20&gt;6,'Teacher B'!J20=0),UPPER($M$2),IF(AND('Teacher B'!J20&gt;6,'Teacher A'!J20=0),UPPER($M$3),IF(AND('Teacher A'!J20&gt;0,'Teacher A'!J20&lt;6,'Teacher B'!J20=0),LOWER($M$2),IF(AND('Teacher B'!J20&lt;6,'Teacher B'!J20&gt;0,'Teacher A'!J20=0),LOWER($M$3),IF(AND('Teacher A'!J20+'Teacher B'!J20&lt;8.5,'Teacher A'!J20+'Teacher B'!J20&gt;0),"Both","Error"))))))</f>
        <v/>
      </c>
      <c r="K21" s="157" t="str">
        <f>IF('Teacher A'!K20+'Teacher B'!K20=0,"",IF(AND('Teacher A'!K20&gt;6,'Teacher B'!K20=0),UPPER($M$2),IF(AND('Teacher B'!K20&gt;6,'Teacher A'!K20=0),UPPER($M$3),IF(AND('Teacher A'!K20&gt;0,'Teacher A'!K20&lt;6,'Teacher B'!K20=0),LOWER($M$2),IF(AND('Teacher B'!K20&lt;6,'Teacher B'!K20&gt;0,'Teacher A'!K20=0),LOWER($M$3),IF(AND('Teacher A'!K20+'Teacher B'!K20&lt;8.5,'Teacher A'!K20+'Teacher B'!K20&gt;0),"Both","Error"))))))</f>
        <v/>
      </c>
      <c r="L21" s="157" t="str">
        <f>IF('Teacher A'!L20+'Teacher B'!L20=0,"",IF(AND('Teacher A'!L20&gt;6,'Teacher B'!L20=0),UPPER($M$2),IF(AND('Teacher B'!L20&gt;6,'Teacher A'!L20=0),UPPER($M$3),IF(AND('Teacher A'!L20&gt;0,'Teacher A'!L20&lt;6,'Teacher B'!L20=0),LOWER($M$2),IF(AND('Teacher B'!L20&lt;6,'Teacher B'!L20&gt;0,'Teacher A'!L20=0),LOWER($M$3),IF(AND('Teacher A'!L20+'Teacher B'!L20&lt;8.5,'Teacher A'!L20+'Teacher B'!L20&gt;0),"Both","Error"))))))</f>
        <v/>
      </c>
      <c r="M21" s="157" t="str">
        <f>IF('Teacher A'!M20+'Teacher B'!M20=0,"",IF(AND('Teacher A'!M20&gt;6,'Teacher B'!M20=0),UPPER($M$2),IF(AND('Teacher B'!M20&gt;6,'Teacher A'!M20=0),UPPER($M$3),IF(AND('Teacher A'!M20&gt;0,'Teacher A'!M20&lt;6,'Teacher B'!M20=0),LOWER($M$2),IF(AND('Teacher B'!M20&lt;6,'Teacher B'!M20&gt;0,'Teacher A'!M20=0),LOWER($M$3),IF(AND('Teacher A'!M20+'Teacher B'!M20&lt;8.5,'Teacher A'!M20+'Teacher B'!M20&gt;0),"Both","Error"))))))</f>
        <v/>
      </c>
      <c r="N21" s="158" t="str">
        <f>IF('Teacher A'!N20+'Teacher B'!N20=0,"",IF(AND('Teacher A'!N20&gt;6,'Teacher B'!N20=0),UPPER($M$2),IF(AND('Teacher B'!N20&gt;6,'Teacher A'!N20=0),UPPER($M$3),IF(AND('Teacher A'!N20&gt;0,'Teacher A'!N20&lt;6,'Teacher B'!N20=0),LOWER($M$2),IF(AND('Teacher B'!N20&lt;6,'Teacher B'!N20&gt;0,'Teacher A'!N20=0),LOWER($M$3),IF(AND('Teacher A'!N20+'Teacher B'!N20&lt;8.5,'Teacher A'!N20+'Teacher B'!N20&gt;0),"Both","Error"))))))</f>
        <v/>
      </c>
      <c r="O21" s="159"/>
      <c r="P21" s="310"/>
      <c r="Q21" s="156" t="str">
        <f>IF('Teacher A'!Q20+'Teacher B'!Q20=0,"",IF(AND('Teacher A'!Q20&gt;6,'Teacher B'!Q20=0),UPPER($M$2),IF(AND('Teacher B'!Q20&gt;6,'Teacher A'!Q20=0),UPPER($M$3),IF(AND('Teacher A'!Q20&gt;0,'Teacher A'!Q20&lt;6,'Teacher B'!Q20=0),LOWER($M$2),IF(AND('Teacher B'!Q20&lt;6,'Teacher B'!Q20&gt;0,'Teacher A'!Q20=0),LOWER($M$3),IF(AND('Teacher A'!Q20+'Teacher B'!Q20&lt;8.5,'Teacher A'!Q20+'Teacher B'!Q20&gt;0),"Both","Error"))))))</f>
        <v/>
      </c>
      <c r="R21" s="157" t="str">
        <f>IF('Teacher A'!R20+'Teacher B'!R20=0,"",IF(AND('Teacher A'!R20&gt;6,'Teacher B'!R20=0),UPPER($M$2),IF(AND('Teacher B'!R20&gt;6,'Teacher A'!R20=0),UPPER($M$3),IF(AND('Teacher A'!R20&gt;0,'Teacher A'!R20&lt;6,'Teacher B'!R20=0),LOWER($M$2),IF(AND('Teacher B'!R20&lt;6,'Teacher B'!R20&gt;0,'Teacher A'!R20=0),LOWER($M$3),IF(AND('Teacher A'!R20+'Teacher B'!R20&lt;8.5,'Teacher A'!R20+'Teacher B'!R20&gt;0),"Both","Error"))))))</f>
        <v/>
      </c>
      <c r="S21" s="157" t="str">
        <f>IF('Teacher A'!S20+'Teacher B'!S20=0,"",IF(AND('Teacher A'!S20&gt;6,'Teacher B'!S20=0),UPPER($M$2),IF(AND('Teacher B'!S20&gt;6,'Teacher A'!S20=0),UPPER($M$3),IF(AND('Teacher A'!S20&gt;0,'Teacher A'!S20&lt;6,'Teacher B'!S20=0),LOWER($M$2),IF(AND('Teacher B'!S20&lt;6,'Teacher B'!S20&gt;0,'Teacher A'!S20=0),LOWER($M$3),IF(AND('Teacher A'!S20+'Teacher B'!S20&lt;8.5,'Teacher A'!S20+'Teacher B'!S20&gt;0),"Both","Error"))))))</f>
        <v/>
      </c>
      <c r="T21" s="157" t="str">
        <f>IF('Teacher A'!T20+'Teacher B'!T20=0,"",IF(AND('Teacher A'!T20&gt;6,'Teacher B'!T20=0),UPPER($M$2),IF(AND('Teacher B'!T20&gt;6,'Teacher A'!T20=0),UPPER($M$3),IF(AND('Teacher A'!T20&gt;0,'Teacher A'!T20&lt;6,'Teacher B'!T20=0),LOWER($M$2),IF(AND('Teacher B'!T20&lt;6,'Teacher B'!T20&gt;0,'Teacher A'!T20=0),LOWER($M$3),IF(AND('Teacher A'!T20+'Teacher B'!T20&lt;8.5,'Teacher A'!T20+'Teacher B'!T20&gt;0),"Both","Error"))))))</f>
        <v/>
      </c>
      <c r="U21" s="158" t="str">
        <f>IF('Teacher A'!U20+'Teacher B'!U20=0,"",IF(AND('Teacher A'!U20&gt;6,'Teacher B'!U20=0),UPPER($M$2),IF(AND('Teacher B'!U20&gt;6,'Teacher A'!U20=0),UPPER($M$3),IF(AND('Teacher A'!U20&gt;0,'Teacher A'!U20&lt;6,'Teacher B'!U20=0),LOWER($M$2),IF(AND('Teacher B'!U20&lt;6,'Teacher B'!U20&gt;0,'Teacher A'!U20=0),LOWER($M$3),IF(AND('Teacher A'!U20+'Teacher B'!U20&lt;8.5,'Teacher A'!U20+'Teacher B'!U20&gt;0),"Both","Error"))))))</f>
        <v/>
      </c>
      <c r="V21" s="159"/>
      <c r="W21" s="310"/>
      <c r="X21" s="156" t="str">
        <f>IF('Teacher A'!X20+'Teacher B'!X20=0,"",IF(AND('Teacher A'!X20&gt;6,'Teacher B'!X20=0),UPPER($M$2),IF(AND('Teacher B'!X20&gt;6,'Teacher A'!X20=0),UPPER($M$3),IF(AND('Teacher A'!X20&gt;0,'Teacher A'!X20&lt;6,'Teacher B'!X20=0),LOWER($M$2),IF(AND('Teacher B'!X20&lt;6,'Teacher B'!X20&gt;0,'Teacher A'!X20=0),LOWER($M$3),IF(AND('Teacher A'!X20+'Teacher B'!X20&lt;8.5,'Teacher A'!X20+'Teacher B'!X20&gt;0),"Both","Error"))))))</f>
        <v/>
      </c>
      <c r="Y21" s="157" t="str">
        <f>IF('Teacher A'!Y20+'Teacher B'!Y20=0,"",IF(AND('Teacher A'!Y20&gt;6,'Teacher B'!Y20=0),UPPER($M$2),IF(AND('Teacher B'!Y20&gt;6,'Teacher A'!Y20=0),UPPER($M$3),IF(AND('Teacher A'!Y20&gt;0,'Teacher A'!Y20&lt;6,'Teacher B'!Y20=0),LOWER($M$2),IF(AND('Teacher B'!Y20&lt;6,'Teacher B'!Y20&gt;0,'Teacher A'!Y20=0),LOWER($M$3),IF(AND('Teacher A'!Y20+'Teacher B'!Y20&lt;8.5,'Teacher A'!Y20+'Teacher B'!Y20&gt;0),"Both","Error"))))))</f>
        <v/>
      </c>
      <c r="Z21" s="157" t="str">
        <f>IF('Teacher A'!Z20+'Teacher B'!Z20=0,"",IF(AND('Teacher A'!Z20&gt;6,'Teacher B'!Z20=0),UPPER($M$2),IF(AND('Teacher B'!Z20&gt;6,'Teacher A'!Z20=0),UPPER($M$3),IF(AND('Teacher A'!Z20&gt;0,'Teacher A'!Z20&lt;6,'Teacher B'!Z20=0),LOWER($M$2),IF(AND('Teacher B'!Z20&lt;6,'Teacher B'!Z20&gt;0,'Teacher A'!Z20=0),LOWER($M$3),IF(AND('Teacher A'!Z20+'Teacher B'!Z20&lt;8.5,'Teacher A'!Z20+'Teacher B'!Z20&gt;0),"Both","Error"))))))</f>
        <v/>
      </c>
      <c r="AA21" s="157" t="str">
        <f>IF('Teacher A'!AA20+'Teacher B'!AA20=0,"",IF(AND('Teacher A'!AA20&gt;6,'Teacher B'!AA20=0),UPPER($M$2),IF(AND('Teacher B'!AA20&gt;6,'Teacher A'!AA20=0),UPPER($M$3),IF(AND('Teacher A'!AA20&gt;0,'Teacher A'!AA20&lt;6,'Teacher B'!AA20=0),LOWER($M$2),IF(AND('Teacher B'!AA20&lt;6,'Teacher B'!AA20&gt;0,'Teacher A'!AA20=0),LOWER($M$3),IF(AND('Teacher A'!AA20+'Teacher B'!AA20&lt;8.5,'Teacher A'!AA20+'Teacher B'!AA20&gt;0),"Both","Error"))))))</f>
        <v/>
      </c>
      <c r="AB21" s="158" t="str">
        <f>IF('Teacher A'!AB20+'Teacher B'!AB20=0,"",IF(AND('Teacher A'!AB20&gt;6,'Teacher B'!AB20=0),UPPER($M$2),IF(AND('Teacher B'!AB20&gt;6,'Teacher A'!AB20=0),UPPER($M$3),IF(AND('Teacher A'!AB20&gt;0,'Teacher A'!AB20&lt;6,'Teacher B'!AB20=0),LOWER($M$2),IF(AND('Teacher B'!AB20&lt;6,'Teacher B'!AB20&gt;0,'Teacher A'!AB20=0),LOWER($M$3),IF(AND('Teacher A'!AB20+'Teacher B'!AB20&lt;8.5,'Teacher A'!AB20+'Teacher B'!AB20&gt;0),"Both","Error"))))))</f>
        <v/>
      </c>
      <c r="AC21" s="43"/>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row>
    <row r="22" spans="1:61" x14ac:dyDescent="0.25">
      <c r="A22" s="51"/>
      <c r="B22" s="270"/>
      <c r="C22" s="88">
        <f>IF(AND(YEAR(AugOffSet+16)=BegCalYear,MONTH(AugOffSet+16)=8),AugOffSet+16,"")</f>
        <v>45516</v>
      </c>
      <c r="D22" s="197">
        <f>IF(AND(YEAR(AugOffSet+17)=BegCalYear,MONTH(AugOffSet+17)=8),AugOffSet+17,"")</f>
        <v>45517</v>
      </c>
      <c r="E22" s="197">
        <f>IF(AND(YEAR(AugOffSet+18)=BegCalYear,MONTH(AugOffSet+18)=8),AugOffSet+18,"")</f>
        <v>45518</v>
      </c>
      <c r="F22" s="197">
        <f>IF(AND(YEAR(AugOffSet+19)=BegCalYear,MONTH(AugOffSet+19)=8),AugOffSet+19,"")</f>
        <v>45519</v>
      </c>
      <c r="G22" s="198">
        <f>IF(AND(YEAR(AugOffSet+20)=BegCalYear,MONTH(AugOffSet+20)=8),AugOffSet+20,"")</f>
        <v>45520</v>
      </c>
      <c r="H22" s="159"/>
      <c r="I22" s="313"/>
      <c r="J22" s="88">
        <f>IF(AND(YEAR(NovOffSet+16)=BegCalYear,MONTH(NovOffSet+16)=11),NovOffSet+16,"")</f>
        <v>45607</v>
      </c>
      <c r="K22" s="197">
        <f>IF(AND(YEAR(NovOffSet+17)=BegCalYear,MONTH(NovOffSet+17)=11),NovOffSet+17,"")</f>
        <v>45608</v>
      </c>
      <c r="L22" s="197">
        <f>IF(AND(YEAR(NovOffSet+18)=BegCalYear,MONTH(NovOffSet+18)=11),NovOffSet+18,"")</f>
        <v>45609</v>
      </c>
      <c r="M22" s="197">
        <f>IF(AND(YEAR(NovOffSet+19)=BegCalYear,MONTH(NovOffSet+19)=11),NovOffSet+19,"")</f>
        <v>45610</v>
      </c>
      <c r="N22" s="198">
        <f>IF(AND(YEAR(NovOffSet+20)=BegCalYear,MONTH(NovOffSet+20)=11),NovOffSet+20,"")</f>
        <v>45611</v>
      </c>
      <c r="O22" s="159"/>
      <c r="P22" s="310"/>
      <c r="Q22" s="88">
        <f>IF(AND(YEAR(FebOffSet+16)=CalendarYear,MONTH(FebOffSet+16)=2),FebOffSet+16,"")</f>
        <v>45698</v>
      </c>
      <c r="R22" s="197">
        <f>IF(AND(YEAR(FebOffSet+17)=CalendarYear,MONTH(FebOffSet+17)=2),FebOffSet+17,"")</f>
        <v>45699</v>
      </c>
      <c r="S22" s="197">
        <f>IF(AND(YEAR(FebOffSet+18)=CalendarYear,MONTH(FebOffSet+18)=2),FebOffSet+18,"")</f>
        <v>45700</v>
      </c>
      <c r="T22" s="197">
        <f>IF(AND(YEAR(FebOffSet+19)=CalendarYear,MONTH(FebOffSet+19)=2),FebOffSet+19,"")</f>
        <v>45701</v>
      </c>
      <c r="U22" s="198">
        <f>IF(AND(YEAR(FebOffSet+20)=CalendarYear,MONTH(FebOffSet+20)=2),FebOffSet+20,"")</f>
        <v>45702</v>
      </c>
      <c r="V22" s="159"/>
      <c r="W22" s="310"/>
      <c r="X22" s="88">
        <f>IF(AND(YEAR(MayOffSet+16)=CalendarYear,MONTH(MayOffSet+16)=5),MayOffSet+16,"")</f>
        <v>45789</v>
      </c>
      <c r="Y22" s="197">
        <f>IF(AND(YEAR(MayOffSet+17)=CalendarYear,MONTH(MayOffSet+17)=5),MayOffSet+17,"")</f>
        <v>45790</v>
      </c>
      <c r="Z22" s="197">
        <f>IF(AND(YEAR(MayOffSet+18)=CalendarYear,MONTH(MayOffSet+18)=5),MayOffSet+18,"")</f>
        <v>45791</v>
      </c>
      <c r="AA22" s="197">
        <f>IF(AND(YEAR(MayOffSet+19)=CalendarYear,MONTH(MayOffSet+19)=5),MayOffSet+19,"")</f>
        <v>45792</v>
      </c>
      <c r="AB22" s="198">
        <f>IF(AND(YEAR(MayOffSet+20)=CalendarYear,MONTH(MayOffSet+20)=5),MayOffSet+20,"")</f>
        <v>45793</v>
      </c>
      <c r="AC22" s="43"/>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row>
    <row r="23" spans="1:61" ht="14.25" customHeight="1" x14ac:dyDescent="0.25">
      <c r="A23" s="12"/>
      <c r="B23" s="270"/>
      <c r="C23" s="156" t="str">
        <f>IF('Teacher A'!C22+'Teacher B'!C22=0,"",IF(AND('Teacher A'!C22&gt;6,'Teacher B'!C22=0),UPPER($M$2),IF(AND('Teacher B'!C22&gt;6,'Teacher A'!C22=0),UPPER($M$3),IF(AND('Teacher A'!C22&gt;0,'Teacher A'!C22&lt;6,'Teacher B'!C22=0),LOWER($M$2),IF(AND('Teacher B'!C22&lt;6,'Teacher B'!C22&gt;0,'Teacher A'!C22=0),LOWER($M$3),IF(AND('Teacher A'!C22+'Teacher B'!C22&lt;8.5,'Teacher A'!C22+'Teacher B'!C22&gt;0),"Both","Error"))))))</f>
        <v/>
      </c>
      <c r="D23" s="157" t="str">
        <f>IF('Teacher A'!D22+'Teacher B'!D22=0,"",IF(AND('Teacher A'!D22&gt;6,'Teacher B'!D22=0),UPPER($M$2),IF(AND('Teacher B'!D22&gt;6,'Teacher A'!D22=0),UPPER($M$3),IF(AND('Teacher A'!D22&gt;0,'Teacher A'!D22&lt;6,'Teacher B'!D22=0),LOWER($M$2),IF(AND('Teacher B'!D22&lt;6,'Teacher B'!D22&gt;0,'Teacher A'!D22=0),LOWER($M$3),IF(AND('Teacher A'!D22+'Teacher B'!D22&lt;8.5,'Teacher A'!D22+'Teacher B'!D22&gt;0),"Both","Error"))))))</f>
        <v/>
      </c>
      <c r="E23" s="157" t="str">
        <f>IF('Teacher A'!E22+'Teacher B'!E22=0,"",IF(AND('Teacher A'!E22&gt;6,'Teacher B'!E22=0),UPPER($M$2),IF(AND('Teacher B'!E22&gt;6,'Teacher A'!E22=0),UPPER($M$3),IF(AND('Teacher A'!E22&gt;0,'Teacher A'!E22&lt;6,'Teacher B'!E22=0),LOWER($M$2),IF(AND('Teacher B'!E22&lt;6,'Teacher B'!E22&gt;0,'Teacher A'!E22=0),LOWER($M$3),IF(AND('Teacher A'!E22+'Teacher B'!E22&lt;8.5,'Teacher A'!E22+'Teacher B'!E22&gt;0),"Both","Error"))))))</f>
        <v/>
      </c>
      <c r="F23" s="157" t="str">
        <f>IF('Teacher A'!F22+'Teacher B'!F22=0,"",IF(AND('Teacher A'!F22&gt;6,'Teacher B'!F22=0),UPPER($M$2),IF(AND('Teacher B'!F22&gt;6,'Teacher A'!F22=0),UPPER($M$3),IF(AND('Teacher A'!F22&gt;0,'Teacher A'!F22&lt;6,'Teacher B'!F22=0),LOWER($M$2),IF(AND('Teacher B'!F22&lt;6,'Teacher B'!F22&gt;0,'Teacher A'!F22=0),LOWER($M$3),IF(AND('Teacher A'!F22+'Teacher B'!F22&lt;8.5,'Teacher A'!F22+'Teacher B'!F22&gt;0),"Both","Error"))))))</f>
        <v/>
      </c>
      <c r="G23" s="158" t="str">
        <f>IF('Teacher A'!G22+'Teacher B'!G22=0,"",IF(AND('Teacher A'!G22&gt;6,'Teacher B'!G22=0),UPPER($M$2),IF(AND('Teacher B'!G22&gt;6,'Teacher A'!G22=0),UPPER($M$3),IF(AND('Teacher A'!G22&gt;0,'Teacher A'!G22&lt;6,'Teacher B'!G22=0),LOWER($M$2),IF(AND('Teacher B'!G22&lt;6,'Teacher B'!G22&gt;0,'Teacher A'!G22=0),LOWER($M$3),IF(AND('Teacher A'!G22+'Teacher B'!G22&lt;8.5,'Teacher A'!G22+'Teacher B'!G22&gt;0),"Both","Error"))))))</f>
        <v/>
      </c>
      <c r="H23" s="159"/>
      <c r="I23" s="313"/>
      <c r="J23" s="156" t="str">
        <f>IF('Teacher A'!J22+'Teacher B'!J22=0,"",IF(AND('Teacher A'!J22&gt;6,'Teacher B'!J22=0),UPPER($M$2),IF(AND('Teacher B'!J22&gt;6,'Teacher A'!J22=0),UPPER($M$3),IF(AND('Teacher A'!J22&gt;0,'Teacher A'!J22&lt;6,'Teacher B'!J22=0),LOWER($M$2),IF(AND('Teacher B'!J22&lt;6,'Teacher B'!J22&gt;0,'Teacher A'!J22=0),LOWER($M$3),IF(AND('Teacher A'!J22+'Teacher B'!J22&lt;8.5,'Teacher A'!J22+'Teacher B'!J22&gt;0),"Both","Error"))))))</f>
        <v/>
      </c>
      <c r="K23" s="157" t="str">
        <f>IF('Teacher A'!K22+'Teacher B'!K22=0,"",IF(AND('Teacher A'!K22&gt;6,'Teacher B'!K22=0),UPPER($M$2),IF(AND('Teacher B'!K22&gt;6,'Teacher A'!K22=0),UPPER($M$3),IF(AND('Teacher A'!K22&gt;0,'Teacher A'!K22&lt;6,'Teacher B'!K22=0),LOWER($M$2),IF(AND('Teacher B'!K22&lt;6,'Teacher B'!K22&gt;0,'Teacher A'!K22=0),LOWER($M$3),IF(AND('Teacher A'!K22+'Teacher B'!K22&lt;8.5,'Teacher A'!K22+'Teacher B'!K22&gt;0),"Both","Error"))))))</f>
        <v/>
      </c>
      <c r="L23" s="157" t="str">
        <f>IF('Teacher A'!L22+'Teacher B'!L22=0,"",IF(AND('Teacher A'!L22&gt;6,'Teacher B'!L22=0),UPPER($M$2),IF(AND('Teacher B'!L22&gt;6,'Teacher A'!L22=0),UPPER($M$3),IF(AND('Teacher A'!L22&gt;0,'Teacher A'!L22&lt;6,'Teacher B'!L22=0),LOWER($M$2),IF(AND('Teacher B'!L22&lt;6,'Teacher B'!L22&gt;0,'Teacher A'!L22=0),LOWER($M$3),IF(AND('Teacher A'!L22+'Teacher B'!L22&lt;8.5,'Teacher A'!L22+'Teacher B'!L22&gt;0),"Both","Error"))))))</f>
        <v/>
      </c>
      <c r="M23" s="157" t="str">
        <f>IF('Teacher A'!M22+'Teacher B'!M22=0,"",IF(AND('Teacher A'!M22&gt;6,'Teacher B'!M22=0),UPPER($M$2),IF(AND('Teacher B'!M22&gt;6,'Teacher A'!M22=0),UPPER($M$3),IF(AND('Teacher A'!M22&gt;0,'Teacher A'!M22&lt;6,'Teacher B'!M22=0),LOWER($M$2),IF(AND('Teacher B'!M22&lt;6,'Teacher B'!M22&gt;0,'Teacher A'!M22=0),LOWER($M$3),IF(AND('Teacher A'!M22+'Teacher B'!M22&lt;8.5,'Teacher A'!M22+'Teacher B'!M22&gt;0),"Both","Error"))))))</f>
        <v/>
      </c>
      <c r="N23" s="158" t="str">
        <f>IF('Teacher A'!N22+'Teacher B'!N22=0,"",IF(AND('Teacher A'!N22&gt;6,'Teacher B'!N22=0),UPPER($M$2),IF(AND('Teacher B'!N22&gt;6,'Teacher A'!N22=0),UPPER($M$3),IF(AND('Teacher A'!N22&gt;0,'Teacher A'!N22&lt;6,'Teacher B'!N22=0),LOWER($M$2),IF(AND('Teacher B'!N22&lt;6,'Teacher B'!N22&gt;0,'Teacher A'!N22=0),LOWER($M$3),IF(AND('Teacher A'!N22+'Teacher B'!N22&lt;8.5,'Teacher A'!N22+'Teacher B'!N22&gt;0),"Both","Error"))))))</f>
        <v/>
      </c>
      <c r="O23" s="159"/>
      <c r="P23" s="310"/>
      <c r="Q23" s="156" t="str">
        <f>IF('Teacher A'!Q22+'Teacher B'!Q22=0,"",IF(AND('Teacher A'!Q22&gt;6,'Teacher B'!Q22=0),UPPER($M$2),IF(AND('Teacher B'!Q22&gt;6,'Teacher A'!Q22=0),UPPER($M$3),IF(AND('Teacher A'!Q22&gt;0,'Teacher A'!Q22&lt;6,'Teacher B'!Q22=0),LOWER($M$2),IF(AND('Teacher B'!Q22&lt;6,'Teacher B'!Q22&gt;0,'Teacher A'!Q22=0),LOWER($M$3),IF(AND('Teacher A'!Q22+'Teacher B'!Q22&lt;8.5,'Teacher A'!Q22+'Teacher B'!Q22&gt;0),"Both","Error"))))))</f>
        <v/>
      </c>
      <c r="R23" s="157" t="str">
        <f>IF('Teacher A'!R22+'Teacher B'!R22=0,"",IF(AND('Teacher A'!R22&gt;6,'Teacher B'!R22=0),UPPER($M$2),IF(AND('Teacher B'!R22&gt;6,'Teacher A'!R22=0),UPPER($M$3),IF(AND('Teacher A'!R22&gt;0,'Teacher A'!R22&lt;6,'Teacher B'!R22=0),LOWER($M$2),IF(AND('Teacher B'!R22&lt;6,'Teacher B'!R22&gt;0,'Teacher A'!R22=0),LOWER($M$3),IF(AND('Teacher A'!R22+'Teacher B'!R22&lt;8.5,'Teacher A'!R22+'Teacher B'!R22&gt;0),"Both","Error"))))))</f>
        <v/>
      </c>
      <c r="S23" s="157" t="str">
        <f>IF('Teacher A'!S22+'Teacher B'!S22=0,"",IF(AND('Teacher A'!S22&gt;6,'Teacher B'!S22=0),UPPER($M$2),IF(AND('Teacher B'!S22&gt;6,'Teacher A'!S22=0),UPPER($M$3),IF(AND('Teacher A'!S22&gt;0,'Teacher A'!S22&lt;6,'Teacher B'!S22=0),LOWER($M$2),IF(AND('Teacher B'!S22&lt;6,'Teacher B'!S22&gt;0,'Teacher A'!S22=0),LOWER($M$3),IF(AND('Teacher A'!S22+'Teacher B'!S22&lt;8.5,'Teacher A'!S22+'Teacher B'!S22&gt;0),"Both","Error"))))))</f>
        <v/>
      </c>
      <c r="T23" s="157" t="str">
        <f>IF('Teacher A'!T22+'Teacher B'!T22=0,"",IF(AND('Teacher A'!T22&gt;6,'Teacher B'!T22=0),UPPER($M$2),IF(AND('Teacher B'!T22&gt;6,'Teacher A'!T22=0),UPPER($M$3),IF(AND('Teacher A'!T22&gt;0,'Teacher A'!T22&lt;6,'Teacher B'!T22=0),LOWER($M$2),IF(AND('Teacher B'!T22&lt;6,'Teacher B'!T22&gt;0,'Teacher A'!T22=0),LOWER($M$3),IF(AND('Teacher A'!T22+'Teacher B'!T22&lt;8.5,'Teacher A'!T22+'Teacher B'!T22&gt;0),"Both","Error"))))))</f>
        <v/>
      </c>
      <c r="U23" s="158" t="str">
        <f>IF('Teacher A'!U22+'Teacher B'!U22=0,"",IF(AND('Teacher A'!U22&gt;6,'Teacher B'!U22=0),UPPER($M$2),IF(AND('Teacher B'!U22&gt;6,'Teacher A'!U22=0),UPPER($M$3),IF(AND('Teacher A'!U22&gt;0,'Teacher A'!U22&lt;6,'Teacher B'!U22=0),LOWER($M$2),IF(AND('Teacher B'!U22&lt;6,'Teacher B'!U22&gt;0,'Teacher A'!U22=0),LOWER($M$3),IF(AND('Teacher A'!U22+'Teacher B'!U22&lt;8.5,'Teacher A'!U22+'Teacher B'!U22&gt;0),"Both","Error"))))))</f>
        <v/>
      </c>
      <c r="V23" s="159"/>
      <c r="W23" s="310"/>
      <c r="X23" s="156" t="str">
        <f>IF('Teacher A'!X22+'Teacher B'!X22=0,"",IF(AND('Teacher A'!X22&gt;6,'Teacher B'!X22=0),UPPER($M$2),IF(AND('Teacher B'!X22&gt;6,'Teacher A'!X22=0),UPPER($M$3),IF(AND('Teacher A'!X22&gt;0,'Teacher A'!X22&lt;6,'Teacher B'!X22=0),LOWER($M$2),IF(AND('Teacher B'!X22&lt;6,'Teacher B'!X22&gt;0,'Teacher A'!X22=0),LOWER($M$3),IF(AND('Teacher A'!X22+'Teacher B'!X22&lt;8.5,'Teacher A'!X22+'Teacher B'!X22&gt;0),"Both","Error"))))))</f>
        <v/>
      </c>
      <c r="Y23" s="157" t="str">
        <f>IF('Teacher A'!Y22+'Teacher B'!Y22=0,"",IF(AND('Teacher A'!Y22&gt;6,'Teacher B'!Y22=0),UPPER($M$2),IF(AND('Teacher B'!Y22&gt;6,'Teacher A'!Y22=0),UPPER($M$3),IF(AND('Teacher A'!Y22&gt;0,'Teacher A'!Y22&lt;6,'Teacher B'!Y22=0),LOWER($M$2),IF(AND('Teacher B'!Y22&lt;6,'Teacher B'!Y22&gt;0,'Teacher A'!Y22=0),LOWER($M$3),IF(AND('Teacher A'!Y22+'Teacher B'!Y22&lt;8.5,'Teacher A'!Y22+'Teacher B'!Y22&gt;0),"Both","Error"))))))</f>
        <v/>
      </c>
      <c r="Z23" s="157" t="str">
        <f>IF('Teacher A'!Z22+'Teacher B'!Z22=0,"",IF(AND('Teacher A'!Z22&gt;6,'Teacher B'!Z22=0),UPPER($M$2),IF(AND('Teacher B'!Z22&gt;6,'Teacher A'!Z22=0),UPPER($M$3),IF(AND('Teacher A'!Z22&gt;0,'Teacher A'!Z22&lt;6,'Teacher B'!Z22=0),LOWER($M$2),IF(AND('Teacher B'!Z22&lt;6,'Teacher B'!Z22&gt;0,'Teacher A'!Z22=0),LOWER($M$3),IF(AND('Teacher A'!Z22+'Teacher B'!Z22&lt;8.5,'Teacher A'!Z22+'Teacher B'!Z22&gt;0),"Both","Error"))))))</f>
        <v/>
      </c>
      <c r="AA23" s="157" t="str">
        <f>IF('Teacher A'!AA22+'Teacher B'!AA22=0,"",IF(AND('Teacher A'!AA22&gt;6,'Teacher B'!AA22=0),UPPER($M$2),IF(AND('Teacher B'!AA22&gt;6,'Teacher A'!AA22=0),UPPER($M$3),IF(AND('Teacher A'!AA22&gt;0,'Teacher A'!AA22&lt;6,'Teacher B'!AA22=0),LOWER($M$2),IF(AND('Teacher B'!AA22&lt;6,'Teacher B'!AA22&gt;0,'Teacher A'!AA22=0),LOWER($M$3),IF(AND('Teacher A'!AA22+'Teacher B'!AA22&lt;8.5,'Teacher A'!AA22+'Teacher B'!AA22&gt;0),"Both","Error"))))))</f>
        <v/>
      </c>
      <c r="AB23" s="158" t="str">
        <f>IF('Teacher A'!AB22+'Teacher B'!AB22=0,"",IF(AND('Teacher A'!AB22&gt;6,'Teacher B'!AB22=0),UPPER($M$2),IF(AND('Teacher B'!AB22&gt;6,'Teacher A'!AB22=0),UPPER($M$3),IF(AND('Teacher A'!AB22&gt;0,'Teacher A'!AB22&lt;6,'Teacher B'!AB22=0),LOWER($M$2),IF(AND('Teacher B'!AB22&lt;6,'Teacher B'!AB22&gt;0,'Teacher A'!AB22=0),LOWER($M$3),IF(AND('Teacher A'!AB22+'Teacher B'!AB22&lt;8.5,'Teacher A'!AB22+'Teacher B'!AB22&gt;0),"Both","Error"))))))</f>
        <v/>
      </c>
      <c r="AC23" s="43"/>
    </row>
    <row r="24" spans="1:61" x14ac:dyDescent="0.25">
      <c r="A24" s="12"/>
      <c r="B24" s="270"/>
      <c r="C24" s="88">
        <f>IF(AND(YEAR(AugOffSet+23)=BegCalYear,MONTH(AugOffSet+23)=8),AugOffSet+23,"")</f>
        <v>45523</v>
      </c>
      <c r="D24" s="197">
        <f>IF(AND(YEAR(AugOffSet+24)=BegCalYear,MONTH(AugOffSet+24)=8),AugOffSet+24,"")</f>
        <v>45524</v>
      </c>
      <c r="E24" s="197">
        <f>IF(AND(YEAR(AugOffSet+25)=BegCalYear,MONTH(AugOffSet+25)=8),AugOffSet+25,"")</f>
        <v>45525</v>
      </c>
      <c r="F24" s="197">
        <f>IF(AND(YEAR(AugOffSet+26)=BegCalYear,MONTH(AugOffSet+26)=8),AugOffSet+26,"")</f>
        <v>45526</v>
      </c>
      <c r="G24" s="198">
        <f>IF(AND(YEAR(AugOffSet+27)=BegCalYear,MONTH(AugOffSet+27)=8),AugOffSet+27,"")</f>
        <v>45527</v>
      </c>
      <c r="H24" s="154"/>
      <c r="I24" s="313"/>
      <c r="J24" s="88">
        <f>IF(AND(YEAR(NovOffSet+23)=BegCalYear,MONTH(NovOffSet+23)=11),NovOffSet+23,"")</f>
        <v>45614</v>
      </c>
      <c r="K24" s="197">
        <f>IF(AND(YEAR(NovOffSet+24)=BegCalYear,MONTH(NovOffSet+24)=11),NovOffSet+24,"")</f>
        <v>45615</v>
      </c>
      <c r="L24" s="197">
        <f>IF(AND(YEAR(NovOffSet+25)=BegCalYear,MONTH(NovOffSet+25)=11),NovOffSet+25,"")</f>
        <v>45616</v>
      </c>
      <c r="M24" s="197">
        <f>IF(AND(YEAR(NovOffSet+26)=BegCalYear,MONTH(NovOffSet+26)=11),NovOffSet+26,"")</f>
        <v>45617</v>
      </c>
      <c r="N24" s="198">
        <f>IF(AND(YEAR(NovOffSet+27)=BegCalYear,MONTH(NovOffSet+27)=11),NovOffSet+27,"")</f>
        <v>45618</v>
      </c>
      <c r="O24" s="154"/>
      <c r="P24" s="310"/>
      <c r="Q24" s="88">
        <f>IF(AND(YEAR(FebOffSet+23)=CalendarYear,MONTH(FebOffSet+23)=2),FebOffSet+23,"")</f>
        <v>45705</v>
      </c>
      <c r="R24" s="197">
        <f>IF(AND(YEAR(FebOffSet+24)=CalendarYear,MONTH(FebOffSet+24)=2),FebOffSet+24,"")</f>
        <v>45706</v>
      </c>
      <c r="S24" s="197">
        <f>IF(AND(YEAR(FebOffSet+25)=CalendarYear,MONTH(FebOffSet+25)=2),FebOffSet+25,"")</f>
        <v>45707</v>
      </c>
      <c r="T24" s="197">
        <f>IF(AND(YEAR(FebOffSet+26)=CalendarYear,MONTH(FebOffSet+26)=2),FebOffSet+26,"")</f>
        <v>45708</v>
      </c>
      <c r="U24" s="198">
        <f>IF(AND(YEAR(FebOffSet+27)=CalendarYear,MONTH(FebOffSet+27)=2),FebOffSet+27,"")</f>
        <v>45709</v>
      </c>
      <c r="V24" s="154"/>
      <c r="W24" s="310"/>
      <c r="X24" s="88">
        <f>IF(AND(YEAR(MayOffSet+23)=CalendarYear,MONTH(MayOffSet+23)=5),MayOffSet+23,"")</f>
        <v>45796</v>
      </c>
      <c r="Y24" s="197">
        <f>IF(AND(YEAR(MayOffSet+24)=CalendarYear,MONTH(MayOffSet+24)=5),MayOffSet+24,"")</f>
        <v>45797</v>
      </c>
      <c r="Z24" s="197">
        <f>IF(AND(YEAR(MayOffSet+25)=CalendarYear,MONTH(MayOffSet+25)=5),MayOffSet+25,"")</f>
        <v>45798</v>
      </c>
      <c r="AA24" s="197">
        <f>IF(AND(YEAR(MayOffSet+26)=CalendarYear,MONTH(MayOffSet+26)=5),MayOffSet+26,"")</f>
        <v>45799</v>
      </c>
      <c r="AB24" s="198">
        <f>IF(AND(YEAR(MayOffSet+27)=CalendarYear,MONTH(MayOffSet+27)=5),MayOffSet+27,"")</f>
        <v>45800</v>
      </c>
      <c r="AC24" s="25"/>
    </row>
    <row r="25" spans="1:61" x14ac:dyDescent="0.25">
      <c r="A25" s="12"/>
      <c r="B25" s="270"/>
      <c r="C25" s="156" t="str">
        <f>IF('Teacher A'!C24+'Teacher B'!C24=0,"",IF(AND('Teacher A'!C24&gt;6,'Teacher B'!C24=0),UPPER($M$2),IF(AND('Teacher B'!C24&gt;6,'Teacher A'!C24=0),UPPER($M$3),IF(AND('Teacher A'!C24&gt;0,'Teacher A'!C24&lt;6,'Teacher B'!C24=0),LOWER($M$2),IF(AND('Teacher B'!C24&lt;6,'Teacher B'!C24&gt;0,'Teacher A'!C24=0),LOWER($M$3),IF(AND('Teacher A'!C24+'Teacher B'!C24&lt;8.5,'Teacher A'!C24+'Teacher B'!C24&gt;0),"Both","Error"))))))</f>
        <v/>
      </c>
      <c r="D25" s="157" t="str">
        <f>IF('Teacher A'!D24+'Teacher B'!D24=0,"",IF(AND('Teacher A'!D24&gt;6,'Teacher B'!D24=0),UPPER($M$2),IF(AND('Teacher B'!D24&gt;6,'Teacher A'!D24=0),UPPER($M$3),IF(AND('Teacher A'!D24&gt;0,'Teacher A'!D24&lt;6,'Teacher B'!D24=0),LOWER($M$2),IF(AND('Teacher B'!D24&lt;6,'Teacher B'!D24&gt;0,'Teacher A'!D24=0),LOWER($M$3),IF(AND('Teacher A'!D24+'Teacher B'!D24&lt;8.5,'Teacher A'!D24+'Teacher B'!D24&gt;0),"Both","Error"))))))</f>
        <v/>
      </c>
      <c r="E25" s="157" t="str">
        <f>IF('Teacher A'!E24+'Teacher B'!E24=0,"",IF(AND('Teacher A'!E24&gt;6,'Teacher B'!E24=0),UPPER($M$2),IF(AND('Teacher B'!E24&gt;6,'Teacher A'!E24=0),UPPER($M$3),IF(AND('Teacher A'!E24&gt;0,'Teacher A'!E24&lt;6,'Teacher B'!E24=0),LOWER($M$2),IF(AND('Teacher B'!E24&lt;6,'Teacher B'!E24&gt;0,'Teacher A'!E24=0),LOWER($M$3),IF(AND('Teacher A'!E24+'Teacher B'!E24&lt;8.5,'Teacher A'!E24+'Teacher B'!E24&gt;0),"Both","Error"))))))</f>
        <v/>
      </c>
      <c r="F25" s="157" t="str">
        <f>IF('Teacher A'!F24+'Teacher B'!F24=0,"",IF(AND('Teacher A'!F24&gt;6,'Teacher B'!F24=0),UPPER($M$2),IF(AND('Teacher B'!F24&gt;6,'Teacher A'!F24=0),UPPER($M$3),IF(AND('Teacher A'!F24&gt;0,'Teacher A'!F24&lt;6,'Teacher B'!F24=0),LOWER($M$2),IF(AND('Teacher B'!F24&lt;6,'Teacher B'!F24&gt;0,'Teacher A'!F24=0),LOWER($M$3),IF(AND('Teacher A'!F24+'Teacher B'!F24&lt;8.5,'Teacher A'!F24+'Teacher B'!F24&gt;0),"Both","Error"))))))</f>
        <v/>
      </c>
      <c r="G25" s="158" t="str">
        <f>IF('Teacher A'!G24+'Teacher B'!G24=0,"",IF(AND('Teacher A'!G24&gt;6,'Teacher B'!G24=0),UPPER($M$2),IF(AND('Teacher B'!G24&gt;6,'Teacher A'!G24=0),UPPER($M$3),IF(AND('Teacher A'!G24&gt;0,'Teacher A'!G24&lt;6,'Teacher B'!G24=0),LOWER($M$2),IF(AND('Teacher B'!G24&lt;6,'Teacher B'!G24&gt;0,'Teacher A'!G24=0),LOWER($M$3),IF(AND('Teacher A'!G24+'Teacher B'!G24&lt;8.5,'Teacher A'!G24+'Teacher B'!G24&gt;0),"Both","Error"))))))</f>
        <v/>
      </c>
      <c r="H25" s="159"/>
      <c r="I25" s="313"/>
      <c r="J25" s="156" t="str">
        <f>IF('Teacher A'!J24+'Teacher B'!J24=0,"",IF(AND('Teacher A'!J24&gt;6,'Teacher B'!J24=0),UPPER($M$2),IF(AND('Teacher B'!J24&gt;6,'Teacher A'!J24=0),UPPER($M$3),IF(AND('Teacher A'!J24&gt;0,'Teacher A'!J24&lt;6,'Teacher B'!J24=0),LOWER($M$2),IF(AND('Teacher B'!J24&lt;6,'Teacher B'!J24&gt;0,'Teacher A'!J24=0),LOWER($M$3),IF(AND('Teacher A'!J24+'Teacher B'!J24&lt;8.5,'Teacher A'!J24+'Teacher B'!J24&gt;0),"Both","Error"))))))</f>
        <v/>
      </c>
      <c r="K25" s="157" t="str">
        <f>IF('Teacher A'!K24+'Teacher B'!K24=0,"",IF(AND('Teacher A'!K24&gt;6,'Teacher B'!K24=0),UPPER($M$2),IF(AND('Teacher B'!K24&gt;6,'Teacher A'!K24=0),UPPER($M$3),IF(AND('Teacher A'!K24&gt;0,'Teacher A'!K24&lt;6,'Teacher B'!K24=0),LOWER($M$2),IF(AND('Teacher B'!K24&lt;6,'Teacher B'!K24&gt;0,'Teacher A'!K24=0),LOWER($M$3),IF(AND('Teacher A'!K24+'Teacher B'!K24&lt;8.5,'Teacher A'!K24+'Teacher B'!K24&gt;0),"Both","Error"))))))</f>
        <v/>
      </c>
      <c r="L25" s="157" t="str">
        <f>IF('Teacher A'!L24+'Teacher B'!L24=0,"",IF(AND('Teacher A'!L24&gt;6,'Teacher B'!L24=0),UPPER($M$2),IF(AND('Teacher B'!L24&gt;6,'Teacher A'!L24=0),UPPER($M$3),IF(AND('Teacher A'!L24&gt;0,'Teacher A'!L24&lt;6,'Teacher B'!L24=0),LOWER($M$2),IF(AND('Teacher B'!L24&lt;6,'Teacher B'!L24&gt;0,'Teacher A'!L24=0),LOWER($M$3),IF(AND('Teacher A'!L24+'Teacher B'!L24&lt;8.5,'Teacher A'!L24+'Teacher B'!L24&gt;0),"Both","Error"))))))</f>
        <v/>
      </c>
      <c r="M25" s="157" t="str">
        <f>IF('Teacher A'!M24+'Teacher B'!M24=0,"",IF(AND('Teacher A'!M24&gt;6,'Teacher B'!M24=0),UPPER($M$2),IF(AND('Teacher B'!M24&gt;6,'Teacher A'!M24=0),UPPER($M$3),IF(AND('Teacher A'!M24&gt;0,'Teacher A'!M24&lt;6,'Teacher B'!M24=0),LOWER($M$2),IF(AND('Teacher B'!M24&lt;6,'Teacher B'!M24&gt;0,'Teacher A'!M24=0),LOWER($M$3),IF(AND('Teacher A'!M24+'Teacher B'!M24&lt;8.5,'Teacher A'!M24+'Teacher B'!M24&gt;0),"Both","Error"))))))</f>
        <v/>
      </c>
      <c r="N25" s="158" t="str">
        <f>IF('Teacher A'!N24+'Teacher B'!N24=0,"",IF(AND('Teacher A'!N24&gt;6,'Teacher B'!N24=0),UPPER($M$2),IF(AND('Teacher B'!N24&gt;6,'Teacher A'!N24=0),UPPER($M$3),IF(AND('Teacher A'!N24&gt;0,'Teacher A'!N24&lt;6,'Teacher B'!N24=0),LOWER($M$2),IF(AND('Teacher B'!N24&lt;6,'Teacher B'!N24&gt;0,'Teacher A'!N24=0),LOWER($M$3),IF(AND('Teacher A'!N24+'Teacher B'!N24&lt;8.5,'Teacher A'!N24+'Teacher B'!N24&gt;0),"Both","Error"))))))</f>
        <v/>
      </c>
      <c r="O25" s="159"/>
      <c r="P25" s="310"/>
      <c r="Q25" s="156" t="str">
        <f>IF('Teacher A'!Q24+'Teacher B'!Q24=0,"",IF(AND('Teacher A'!Q24&gt;6,'Teacher B'!Q24=0),UPPER($M$2),IF(AND('Teacher B'!Q24&gt;6,'Teacher A'!Q24=0),UPPER($M$3),IF(AND('Teacher A'!Q24&gt;0,'Teacher A'!Q24&lt;6,'Teacher B'!Q24=0),LOWER($M$2),IF(AND('Teacher B'!Q24&lt;6,'Teacher B'!Q24&gt;0,'Teacher A'!Q24=0),LOWER($M$3),IF(AND('Teacher A'!Q24+'Teacher B'!Q24&lt;8.5,'Teacher A'!Q24+'Teacher B'!Q24&gt;0),"Both","Error"))))))</f>
        <v/>
      </c>
      <c r="R25" s="157" t="str">
        <f>IF('Teacher A'!R24+'Teacher B'!R24=0,"",IF(AND('Teacher A'!R24&gt;6,'Teacher B'!R24=0),UPPER($M$2),IF(AND('Teacher B'!R24&gt;6,'Teacher A'!R24=0),UPPER($M$3),IF(AND('Teacher A'!R24&gt;0,'Teacher A'!R24&lt;6,'Teacher B'!R24=0),LOWER($M$2),IF(AND('Teacher B'!R24&lt;6,'Teacher B'!R24&gt;0,'Teacher A'!R24=0),LOWER($M$3),IF(AND('Teacher A'!R24+'Teacher B'!R24&lt;8.5,'Teacher A'!R24+'Teacher B'!R24&gt;0),"Both","Error"))))))</f>
        <v/>
      </c>
      <c r="S25" s="157" t="str">
        <f>IF('Teacher A'!S24+'Teacher B'!S24=0,"",IF(AND('Teacher A'!S24&gt;6,'Teacher B'!S24=0),UPPER($M$2),IF(AND('Teacher B'!S24&gt;6,'Teacher A'!S24=0),UPPER($M$3),IF(AND('Teacher A'!S24&gt;0,'Teacher A'!S24&lt;6,'Teacher B'!S24=0),LOWER($M$2),IF(AND('Teacher B'!S24&lt;6,'Teacher B'!S24&gt;0,'Teacher A'!S24=0),LOWER($M$3),IF(AND('Teacher A'!S24+'Teacher B'!S24&lt;8.5,'Teacher A'!S24+'Teacher B'!S24&gt;0),"Both","Error"))))))</f>
        <v/>
      </c>
      <c r="T25" s="157" t="str">
        <f>IF('Teacher A'!T24+'Teacher B'!T24=0,"",IF(AND('Teacher A'!T24&gt;6,'Teacher B'!T24=0),UPPER($M$2),IF(AND('Teacher B'!T24&gt;6,'Teacher A'!T24=0),UPPER($M$3),IF(AND('Teacher A'!T24&gt;0,'Teacher A'!T24&lt;6,'Teacher B'!T24=0),LOWER($M$2),IF(AND('Teacher B'!T24&lt;6,'Teacher B'!T24&gt;0,'Teacher A'!T24=0),LOWER($M$3),IF(AND('Teacher A'!T24+'Teacher B'!T24&lt;8.5,'Teacher A'!T24+'Teacher B'!T24&gt;0),"Both","Error"))))))</f>
        <v/>
      </c>
      <c r="U25" s="158" t="str">
        <f>IF('Teacher A'!U24+'Teacher B'!U24=0,"",IF(AND('Teacher A'!U24&gt;6,'Teacher B'!U24=0),UPPER($M$2),IF(AND('Teacher B'!U24&gt;6,'Teacher A'!U24=0),UPPER($M$3),IF(AND('Teacher A'!U24&gt;0,'Teacher A'!U24&lt;6,'Teacher B'!U24=0),LOWER($M$2),IF(AND('Teacher B'!U24&lt;6,'Teacher B'!U24&gt;0,'Teacher A'!U24=0),LOWER($M$3),IF(AND('Teacher A'!U24+'Teacher B'!U24&lt;8.5,'Teacher A'!U24+'Teacher B'!U24&gt;0),"Both","Error"))))))</f>
        <v/>
      </c>
      <c r="V25" s="159"/>
      <c r="W25" s="310"/>
      <c r="X25" s="156" t="str">
        <f>IF('Teacher A'!X24+'Teacher B'!X24=0,"",IF(AND('Teacher A'!X24&gt;6,'Teacher B'!X24=0),UPPER($M$2),IF(AND('Teacher B'!X24&gt;6,'Teacher A'!X24=0),UPPER($M$3),IF(AND('Teacher A'!X24&gt;0,'Teacher A'!X24&lt;6,'Teacher B'!X24=0),LOWER($M$2),IF(AND('Teacher B'!X24&lt;6,'Teacher B'!X24&gt;0,'Teacher A'!X24=0),LOWER($M$3),IF(AND('Teacher A'!X24+'Teacher B'!X24&lt;8.5,'Teacher A'!X24+'Teacher B'!X24&gt;0),"Both","Error"))))))</f>
        <v/>
      </c>
      <c r="Y25" s="157" t="str">
        <f>IF('Teacher A'!Y24+'Teacher B'!Y24=0,"",IF(AND('Teacher A'!Y24&gt;6,'Teacher B'!Y24=0),UPPER($M$2),IF(AND('Teacher B'!Y24&gt;6,'Teacher A'!Y24=0),UPPER($M$3),IF(AND('Teacher A'!Y24&gt;0,'Teacher A'!Y24&lt;6,'Teacher B'!Y24=0),LOWER($M$2),IF(AND('Teacher B'!Y24&lt;6,'Teacher B'!Y24&gt;0,'Teacher A'!Y24=0),LOWER($M$3),IF(AND('Teacher A'!Y24+'Teacher B'!Y24&lt;8.5,'Teacher A'!Y24+'Teacher B'!Y24&gt;0),"Both","Error"))))))</f>
        <v/>
      </c>
      <c r="Z25" s="157" t="str">
        <f>IF('Teacher A'!Z24+'Teacher B'!Z24=0,"",IF(AND('Teacher A'!Z24&gt;6,'Teacher B'!Z24=0),UPPER($M$2),IF(AND('Teacher B'!Z24&gt;6,'Teacher A'!Z24=0),UPPER($M$3),IF(AND('Teacher A'!Z24&gt;0,'Teacher A'!Z24&lt;6,'Teacher B'!Z24=0),LOWER($M$2),IF(AND('Teacher B'!Z24&lt;6,'Teacher B'!Z24&gt;0,'Teacher A'!Z24=0),LOWER($M$3),IF(AND('Teacher A'!Z24+'Teacher B'!Z24&lt;8.5,'Teacher A'!Z24+'Teacher B'!Z24&gt;0),"Both","Error"))))))</f>
        <v/>
      </c>
      <c r="AA25" s="157" t="str">
        <f>IF('Teacher A'!AA24+'Teacher B'!AA24=0,"",IF(AND('Teacher A'!AA24&gt;6,'Teacher B'!AA24=0),UPPER($M$2),IF(AND('Teacher B'!AA24&gt;6,'Teacher A'!AA24=0),UPPER($M$3),IF(AND('Teacher A'!AA24&gt;0,'Teacher A'!AA24&lt;6,'Teacher B'!AA24=0),LOWER($M$2),IF(AND('Teacher B'!AA24&lt;6,'Teacher B'!AA24&gt;0,'Teacher A'!AA24=0),LOWER($M$3),IF(AND('Teacher A'!AA24+'Teacher B'!AA24&lt;8.5,'Teacher A'!AA24+'Teacher B'!AA24&gt;0),"Both","Error"))))))</f>
        <v/>
      </c>
      <c r="AB25" s="158" t="str">
        <f>IF('Teacher A'!AB24+'Teacher B'!AB24=0,"",IF(AND('Teacher A'!AB24&gt;6,'Teacher B'!AB24=0),UPPER($M$2),IF(AND('Teacher B'!AB24&gt;6,'Teacher A'!AB24=0),UPPER($M$3),IF(AND('Teacher A'!AB24&gt;0,'Teacher A'!AB24&lt;6,'Teacher B'!AB24=0),LOWER($M$2),IF(AND('Teacher B'!AB24&lt;6,'Teacher B'!AB24&gt;0,'Teacher A'!AB24=0),LOWER($M$3),IF(AND('Teacher A'!AB24+'Teacher B'!AB24&lt;8.5,'Teacher A'!AB24+'Teacher B'!AB24&gt;0),"Both","Error"))))))</f>
        <v/>
      </c>
      <c r="AC25" s="27"/>
    </row>
    <row r="26" spans="1:61" ht="15.75" thickBot="1" x14ac:dyDescent="0.3">
      <c r="A26" s="12"/>
      <c r="B26" s="271"/>
      <c r="C26" s="89">
        <f>IF(AND(YEAR(AugOffSet+30)=BegCalYear,MONTH(AugOffSet+30)=8),AugOffSet+30,"")</f>
        <v>45530</v>
      </c>
      <c r="D26" s="96">
        <f>IF(AND(YEAR(AugOffSet+31)=BegCalYear,MONTH(AugOffSet+31)=8),AugOffSet+31,"")</f>
        <v>45531</v>
      </c>
      <c r="E26" s="96">
        <f>IF(AND(YEAR(AugOffSet+32)=BegCalYear,MONTH(AugOffSet+32)=8),AugOffSet+32,"")</f>
        <v>45532</v>
      </c>
      <c r="F26" s="96">
        <f>IF(AND(YEAR(AugOffSet+33)=BegCalYear,MONTH(AugOffSet+33)=8),AugOffSet+33,"")</f>
        <v>45533</v>
      </c>
      <c r="G26" s="90">
        <f>IF(AND(YEAR(AugOffSet+34)=BegCalYear,MONTH(AugOffSet+34)=8),AugOffSet+34,"")</f>
        <v>45534</v>
      </c>
      <c r="H26" s="160"/>
      <c r="I26" s="314"/>
      <c r="J26" s="89">
        <f>IF(AND(YEAR(NovOffSet+30)=BegCalYear,MONTH(NovOffSet+30)=11),NovOffSet+30,"")</f>
        <v>45621</v>
      </c>
      <c r="K26" s="96">
        <f>IF(AND(YEAR(NovOffSet+31)=BegCalYear,MONTH(NovOffSet+31)=11),NovOffSet+31,"")</f>
        <v>45622</v>
      </c>
      <c r="L26" s="96">
        <f>IF(AND(YEAR(NovOffSet+32)=BegCalYear,MONTH(NovOffSet+32)=11),NovOffSet+32,"")</f>
        <v>45623</v>
      </c>
      <c r="M26" s="96">
        <f>IF(AND(YEAR(NovOffSet+33)=BegCalYear,MONTH(NovOffSet+33)=11),NovOffSet+33,"")</f>
        <v>45624</v>
      </c>
      <c r="N26" s="90">
        <f>IF(AND(YEAR(NovOffSet+34)=BegCalYear,MONTH(NovOffSet+34)=11),NovOffSet+34,"")</f>
        <v>45625</v>
      </c>
      <c r="O26" s="160"/>
      <c r="P26" s="311"/>
      <c r="Q26" s="89">
        <f>IF(AND(YEAR(FebOffSet+30)=CalendarYear,MONTH(FebOffSet+30)=2),FebOffSet+30,"")</f>
        <v>45712</v>
      </c>
      <c r="R26" s="96">
        <f>IF(AND(YEAR(FebOffSet+31)=CalendarYear,MONTH(FebOffSet+31)=2),FebOffSet+31,"")</f>
        <v>45713</v>
      </c>
      <c r="S26" s="96">
        <f>IF(AND(YEAR(FebOffSet+32)=CalendarYear,MONTH(FebOffSet+32)=2),FebOffSet+32,"")</f>
        <v>45714</v>
      </c>
      <c r="T26" s="96">
        <f>IF(AND(YEAR(FebOffSet+33)=CalendarYear,MONTH(FebOffSet+33)=2),FebOffSet+33,"")</f>
        <v>45715</v>
      </c>
      <c r="U26" s="90">
        <f>IF(AND(YEAR(FebOffSet+34)=CalendarYear,MONTH(FebOffSet+34)=2),FebOffSet+34,"")</f>
        <v>45716</v>
      </c>
      <c r="V26" s="160"/>
      <c r="W26" s="311"/>
      <c r="X26" s="89">
        <f>IF(AND(YEAR(MayOffSet+30)=CalendarYear,MONTH(MayOffSet+30)=5),MayOffSet+30,"")</f>
        <v>45803</v>
      </c>
      <c r="Y26" s="96">
        <f>IF(AND(YEAR(MayOffSet+31)=CalendarYear,MONTH(MayOffSet+31)=5),MayOffSet+31,"")</f>
        <v>45804</v>
      </c>
      <c r="Z26" s="96">
        <f>IF(AND(YEAR(MayOffSet+32)=CalendarYear,MONTH(MayOffSet+32)=5),MayOffSet+32,"")</f>
        <v>45805</v>
      </c>
      <c r="AA26" s="96">
        <f>IF(AND(YEAR(MayOffSet+33)=CalendarYear,MONTH(MayOffSet+33)=5),MayOffSet+33,"")</f>
        <v>45806</v>
      </c>
      <c r="AB26" s="90">
        <f>IF(AND(YEAR(MayOffSet+34)=CalendarYear,MONTH(MayOffSet+34)=5),MayOffSet+34,"")</f>
        <v>45807</v>
      </c>
      <c r="AC26" s="44"/>
    </row>
    <row r="27" spans="1:61" ht="15.75" thickBot="1" x14ac:dyDescent="0.3">
      <c r="A27" s="12"/>
      <c r="B27" s="17"/>
      <c r="C27" s="154"/>
      <c r="D27" s="154"/>
      <c r="E27" s="154"/>
      <c r="F27" s="154"/>
      <c r="G27" s="154"/>
      <c r="H27" s="159"/>
      <c r="I27" s="161"/>
      <c r="J27" s="154"/>
      <c r="K27" s="154"/>
      <c r="L27" s="154"/>
      <c r="M27" s="154"/>
      <c r="N27" s="154"/>
      <c r="O27" s="159"/>
      <c r="P27" s="161"/>
      <c r="Q27" s="154"/>
      <c r="R27" s="154"/>
      <c r="S27" s="154"/>
      <c r="T27" s="154"/>
      <c r="U27" s="154"/>
      <c r="V27" s="159"/>
      <c r="W27" s="161"/>
      <c r="X27" s="154"/>
      <c r="Y27" s="154"/>
      <c r="Z27" s="154"/>
      <c r="AA27" s="154"/>
      <c r="AB27" s="154"/>
      <c r="AC27" s="43"/>
    </row>
    <row r="28" spans="1:61" ht="15" customHeight="1" x14ac:dyDescent="0.25">
      <c r="A28" s="12"/>
      <c r="B28" s="269" t="s">
        <v>24</v>
      </c>
      <c r="C28" s="150" t="str">
        <f>IF('Teacher A'!C27+'Teacher B'!C27=0,"",IF(AND('Teacher A'!C27&gt;6,'Teacher B'!C27=0),UPPER($M$2),IF(AND('Teacher B'!C27&gt;6,'Teacher A'!C27=0),UPPER($M$3),IF(AND('Teacher A'!C27&gt;0,'Teacher A'!C27&lt;6,'Teacher B'!C27=0),LOWER($M$2),IF(AND('Teacher B'!C27&lt;6,'Teacher B'!C27&gt;0,'Teacher A'!C27=0),LOWER($M$3),IF(AND('Teacher A'!C27+'Teacher B'!C27&lt;8.5,'Teacher A'!C27+'Teacher B'!C27&gt;0),"Both","Error"))))))</f>
        <v/>
      </c>
      <c r="D28" s="151" t="str">
        <f>IF('Teacher A'!D27+'Teacher B'!D27=0,"",IF(AND('Teacher A'!D27&gt;6,'Teacher B'!D27=0),UPPER($M$2),IF(AND('Teacher B'!D27&gt;6,'Teacher A'!D27=0),UPPER($M$3),IF(AND('Teacher A'!D27&gt;0,'Teacher A'!D27&lt;6,'Teacher B'!D27=0),LOWER($M$2),IF(AND('Teacher B'!D27&lt;6,'Teacher B'!D27&gt;0,'Teacher A'!D27=0),LOWER($M$3),IF(AND('Teacher A'!D27+'Teacher B'!D27&lt;8.5,'Teacher A'!D27+'Teacher B'!D27&gt;0),"Both","Error"))))))</f>
        <v/>
      </c>
      <c r="E28" s="151" t="str">
        <f>IF('Teacher A'!E27+'Teacher B'!E27=0,"",IF(AND('Teacher A'!E27&gt;6,'Teacher B'!E27=0),UPPER($M$2),IF(AND('Teacher B'!E27&gt;6,'Teacher A'!E27=0),UPPER($M$3),IF(AND('Teacher A'!E27&gt;0,'Teacher A'!E27&lt;6,'Teacher B'!E27=0),LOWER($M$2),IF(AND('Teacher B'!E27&lt;6,'Teacher B'!E27&gt;0,'Teacher A'!E27=0),LOWER($M$3),IF(AND('Teacher A'!E27+'Teacher B'!E27&lt;8.5,'Teacher A'!E27+'Teacher B'!E27&gt;0),"Both","Error"))))))</f>
        <v/>
      </c>
      <c r="F28" s="151" t="str">
        <f>IF('Teacher A'!F27+'Teacher B'!F27=0,"",IF(AND('Teacher A'!F27&gt;6,'Teacher B'!F27=0),UPPER($M$2),IF(AND('Teacher B'!F27&gt;6,'Teacher A'!F27=0),UPPER($M$3),IF(AND('Teacher A'!F27&gt;0,'Teacher A'!F27&lt;6,'Teacher B'!F27=0),LOWER($M$2),IF(AND('Teacher B'!F27&lt;6,'Teacher B'!F27&gt;0,'Teacher A'!F27=0),LOWER($M$3),IF(AND('Teacher A'!F27+'Teacher B'!F27&lt;8.5,'Teacher A'!F27+'Teacher B'!F27&gt;0),"Both","Error"))))))</f>
        <v/>
      </c>
      <c r="G28" s="152" t="str">
        <f>IF('Teacher A'!G27+'Teacher B'!G27=0,"",IF(AND('Teacher A'!G27&gt;6,'Teacher B'!G27=0),UPPER($M$2),IF(AND('Teacher B'!G27&gt;6,'Teacher A'!G27=0),UPPER($M$3),IF(AND('Teacher A'!G27&gt;0,'Teacher A'!G27&lt;6,'Teacher B'!G27=0),LOWER($M$2),IF(AND('Teacher B'!G27&lt;6,'Teacher B'!G27&gt;0,'Teacher A'!G27=0),LOWER($M$3),IF(AND('Teacher A'!G27+'Teacher B'!G27&lt;8.5,'Teacher A'!G27+'Teacher B'!G27&gt;0),"Both","Error"))))))</f>
        <v/>
      </c>
      <c r="H28" s="159"/>
      <c r="I28" s="312" t="s">
        <v>25</v>
      </c>
      <c r="J28" s="150" t="str">
        <f>IF('Teacher A'!J27+'Teacher B'!J27=0,"",IF(AND('Teacher A'!J27&gt;6,'Teacher B'!J27=0),UPPER($M$2),IF(AND('Teacher B'!J27&gt;6,'Teacher A'!J27=0),UPPER($M$3),IF(AND('Teacher A'!J27&gt;0,'Teacher A'!J27&lt;6,'Teacher B'!J27=0),LOWER($M$2),IF(AND('Teacher B'!J27&lt;6,'Teacher B'!J27&gt;0,'Teacher A'!J27=0),LOWER($M$3),IF(AND('Teacher A'!J27+'Teacher B'!J27&lt;8.5,'Teacher A'!J27+'Teacher B'!J27&gt;0),"Both","Error"))))))</f>
        <v/>
      </c>
      <c r="K28" s="151" t="str">
        <f>IF('Teacher A'!K27+'Teacher B'!K27=0,"",IF(AND('Teacher A'!K27&gt;6,'Teacher B'!K27=0),UPPER($M$2),IF(AND('Teacher B'!K27&gt;6,'Teacher A'!K27=0),UPPER($M$3),IF(AND('Teacher A'!K27&gt;0,'Teacher A'!K27&lt;6,'Teacher B'!K27=0),LOWER($M$2),IF(AND('Teacher B'!K27&lt;6,'Teacher B'!K27&gt;0,'Teacher A'!K27=0),LOWER($M$3),IF(AND('Teacher A'!K27+'Teacher B'!K27&lt;8.5,'Teacher A'!K27+'Teacher B'!K27&gt;0),"Both","Error"))))))</f>
        <v/>
      </c>
      <c r="L28" s="151" t="str">
        <f>IF('Teacher A'!L27+'Teacher B'!L27=0,"",IF(AND('Teacher A'!L27&gt;6,'Teacher B'!L27=0),UPPER($M$2),IF(AND('Teacher B'!L27&gt;6,'Teacher A'!L27=0),UPPER($M$3),IF(AND('Teacher A'!L27&gt;0,'Teacher A'!L27&lt;6,'Teacher B'!L27=0),LOWER($M$2),IF(AND('Teacher B'!L27&lt;6,'Teacher B'!L27&gt;0,'Teacher A'!L27=0),LOWER($M$3),IF(AND('Teacher A'!L27+'Teacher B'!L27&lt;8.5,'Teacher A'!L27+'Teacher B'!L27&gt;0),"Both","Error"))))))</f>
        <v/>
      </c>
      <c r="M28" s="151" t="str">
        <f>IF('Teacher A'!M27+'Teacher B'!M27=0,"",IF(AND('Teacher A'!M27&gt;6,'Teacher B'!M27=0),UPPER($M$2),IF(AND('Teacher B'!M27&gt;6,'Teacher A'!M27=0),UPPER($M$3),IF(AND('Teacher A'!M27&gt;0,'Teacher A'!M27&lt;6,'Teacher B'!M27=0),LOWER($M$2),IF(AND('Teacher B'!M27&lt;6,'Teacher B'!M27&gt;0,'Teacher A'!M27=0),LOWER($M$3),IF(AND('Teacher A'!M27+'Teacher B'!M27&lt;8.5,'Teacher A'!M27+'Teacher B'!M27&gt;0),"Both","Error"))))))</f>
        <v/>
      </c>
      <c r="N28" s="152" t="str">
        <f>IF('Teacher A'!N27+'Teacher B'!N27=0,"",IF(AND('Teacher A'!N27&gt;6,'Teacher B'!N27=0),UPPER($M$2),IF(AND('Teacher B'!N27&gt;6,'Teacher A'!N27=0),UPPER($M$3),IF(AND('Teacher A'!N27&gt;0,'Teacher A'!N27&lt;6,'Teacher B'!N27=0),LOWER($M$2),IF(AND('Teacher B'!N27&lt;6,'Teacher B'!N27&gt;0,'Teacher A'!N27=0),LOWER($M$3),IF(AND('Teacher A'!N27+'Teacher B'!N27&lt;8.5,'Teacher A'!N27+'Teacher B'!N27&gt;0),"Both","Error"))))))</f>
        <v/>
      </c>
      <c r="O28" s="159"/>
      <c r="P28" s="306" t="s">
        <v>26</v>
      </c>
      <c r="Q28" s="156" t="str">
        <f>IF('Teacher A'!Q27+'Teacher B'!Q27=0,"",IF(AND('Teacher A'!Q27&gt;6,'Teacher B'!Q27=0),UPPER($M$2),IF(AND('Teacher B'!Q27&gt;6,'Teacher A'!Q27=0),UPPER($M$3),IF(AND('Teacher A'!Q27&gt;0,'Teacher A'!Q27&lt;6,'Teacher B'!Q27=0),LOWER($M$2),IF(AND('Teacher B'!Q27&lt;6,'Teacher B'!Q27&gt;0,'Teacher A'!Q27=0),LOWER($M$3),IF(AND('Teacher A'!Q27+'Teacher B'!Q27&lt;8.5,'Teacher A'!Q27+'Teacher B'!Q27&gt;0),"Both","Error"))))))</f>
        <v/>
      </c>
      <c r="R28" s="157" t="str">
        <f>IF('Teacher A'!R27+'Teacher B'!R27=0,"",IF(AND('Teacher A'!R27&gt;6,'Teacher B'!R27=0),UPPER($M$2),IF(AND('Teacher B'!R27&gt;6,'Teacher A'!R27=0),UPPER($M$3),IF(AND('Teacher A'!R27&gt;0,'Teacher A'!R27&lt;6,'Teacher B'!R27=0),LOWER($M$2),IF(AND('Teacher B'!R27&lt;6,'Teacher B'!R27&gt;0,'Teacher A'!R27=0),LOWER($M$3),IF(AND('Teacher A'!R27+'Teacher B'!R27&lt;8.5,'Teacher A'!R27+'Teacher B'!R27&gt;0),"Both","Error"))))))</f>
        <v/>
      </c>
      <c r="S28" s="157" t="str">
        <f>IF('Teacher A'!S27+'Teacher B'!S27=0,"",IF(AND('Teacher A'!S27&gt;6,'Teacher B'!S27=0),UPPER($M$2),IF(AND('Teacher B'!S27&gt;6,'Teacher A'!S27=0),UPPER($M$3),IF(AND('Teacher A'!S27&gt;0,'Teacher A'!S27&lt;6,'Teacher B'!S27=0),LOWER($M$2),IF(AND('Teacher B'!S27&lt;6,'Teacher B'!S27&gt;0,'Teacher A'!S27=0),LOWER($M$3),IF(AND('Teacher A'!S27+'Teacher B'!S27&lt;8.5,'Teacher A'!S27+'Teacher B'!S27&gt;0),"Both","Error"))))))</f>
        <v/>
      </c>
      <c r="T28" s="157" t="str">
        <f>IF('Teacher A'!T27+'Teacher B'!T27=0,"",IF(AND('Teacher A'!T27&gt;6,'Teacher B'!T27=0),UPPER($M$2),IF(AND('Teacher B'!T27&gt;6,'Teacher A'!T27=0),UPPER($M$3),IF(AND('Teacher A'!T27&gt;0,'Teacher A'!T27&lt;6,'Teacher B'!T27=0),LOWER($M$2),IF(AND('Teacher B'!T27&lt;6,'Teacher B'!T27&gt;0,'Teacher A'!T27=0),LOWER($M$3),IF(AND('Teacher A'!T27+'Teacher B'!T27&lt;8.5,'Teacher A'!T27+'Teacher B'!T27&gt;0),"Both","Error"))))))</f>
        <v/>
      </c>
      <c r="U28" s="158" t="str">
        <f>IF('Teacher A'!U27+'Teacher B'!U27=0,"",IF(AND('Teacher A'!U27&gt;6,'Teacher B'!U27=0),UPPER($M$2),IF(AND('Teacher B'!U27&gt;6,'Teacher A'!U27=0),UPPER($M$3),IF(AND('Teacher A'!U27&gt;0,'Teacher A'!U27&lt;6,'Teacher B'!U27=0),LOWER($M$2),IF(AND('Teacher B'!U27&lt;6,'Teacher B'!U27&gt;0,'Teacher A'!U27=0),LOWER($M$3),IF(AND('Teacher A'!U27+'Teacher B'!U27&lt;8.5,'Teacher A'!U27+'Teacher B'!U27&gt;0),"Both","Error"))))))</f>
        <v/>
      </c>
      <c r="V28" s="159"/>
      <c r="W28" s="312" t="s">
        <v>76</v>
      </c>
      <c r="X28" s="150" t="str">
        <f>IF('Teacher A'!X27+'Teacher B'!X27=0,"",IF(AND('Teacher A'!X27&gt;6,'Teacher B'!X27=0),UPPER($M$2),IF(AND('Teacher B'!X27&gt;6,'Teacher A'!X27=0),UPPER($M$3),IF(AND('Teacher A'!X27&gt;0,'Teacher A'!X27&lt;6,'Teacher B'!X27=0),LOWER($M$2),IF(AND('Teacher B'!X27&lt;6,'Teacher B'!X27&gt;0,'Teacher A'!X27=0),LOWER($M$3),IF(AND('Teacher A'!X27+'Teacher B'!X27&lt;8.5,'Teacher A'!X27+'Teacher B'!X27&gt;0),"Both","Error"))))))</f>
        <v/>
      </c>
      <c r="Y28" s="151" t="str">
        <f>IF('Teacher A'!Y27+'Teacher B'!Y27=0,"",IF(AND('Teacher A'!Y27&gt;6,'Teacher B'!Y27=0),UPPER($M$2),IF(AND('Teacher B'!Y27&gt;6,'Teacher A'!Y27=0),UPPER($M$3),IF(AND('Teacher A'!Y27&gt;0,'Teacher A'!Y27&lt;6,'Teacher B'!Y27=0),LOWER($M$2),IF(AND('Teacher B'!Y27&lt;6,'Teacher B'!Y27&gt;0,'Teacher A'!Y27=0),LOWER($M$3),IF(AND('Teacher A'!Y27+'Teacher B'!Y27&lt;8.5,'Teacher A'!Y27+'Teacher B'!Y27&gt;0),"Both","Error"))))))</f>
        <v/>
      </c>
      <c r="Z28" s="151" t="str">
        <f>IF('Teacher A'!Z27+'Teacher B'!Z27=0,"",IF(AND('Teacher A'!Z27&gt;6,'Teacher B'!Z27=0),UPPER($M$2),IF(AND('Teacher B'!Z27&gt;6,'Teacher A'!Z27=0),UPPER($M$3),IF(AND('Teacher A'!Z27&gt;0,'Teacher A'!Z27&lt;6,'Teacher B'!Z27=0),LOWER($M$2),IF(AND('Teacher B'!Z27&lt;6,'Teacher B'!Z27&gt;0,'Teacher A'!Z27=0),LOWER($M$3),IF(AND('Teacher A'!Z27+'Teacher B'!Z27&lt;8.5,'Teacher A'!Z27+'Teacher B'!Z27&gt;0),"Both","Error"))))))</f>
        <v/>
      </c>
      <c r="AA28" s="151" t="str">
        <f>IF('Teacher A'!AA27+'Teacher B'!AA27=0,"",IF(AND('Teacher A'!AA27&gt;6,'Teacher B'!AA27=0),UPPER($M$2),IF(AND('Teacher B'!AA27&gt;6,'Teacher A'!AA27=0),UPPER($M$3),IF(AND('Teacher A'!AA27&gt;0,'Teacher A'!AA27&lt;6,'Teacher B'!AA27=0),LOWER($M$2),IF(AND('Teacher B'!AA27&lt;6,'Teacher B'!AA27&gt;0,'Teacher A'!AA27=0),LOWER($M$3),IF(AND('Teacher A'!AA27+'Teacher B'!AA27&lt;8.5,'Teacher A'!AA27+'Teacher B'!AA27&gt;0),"Both","Error"))))))</f>
        <v/>
      </c>
      <c r="AB28" s="152" t="str">
        <f>IF('Teacher A'!AB27+'Teacher B'!AB27=0,"",IF(AND('Teacher A'!AB27&gt;6,'Teacher B'!AB27=0),UPPER($M$2),IF(AND('Teacher B'!AB27&gt;6,'Teacher A'!AB27=0),UPPER($M$3),IF(AND('Teacher A'!AB27&gt;0,'Teacher A'!AB27&lt;6,'Teacher B'!AB27=0),LOWER($M$2),IF(AND('Teacher B'!AB27&lt;6,'Teacher B'!AB27&gt;0,'Teacher A'!AB27=0),LOWER($M$3),IF(AND('Teacher A'!AB27+'Teacher B'!AB27&lt;8.5,'Teacher A'!AB27+'Teacher B'!AB27&gt;0),"Both","Error"))))))</f>
        <v/>
      </c>
      <c r="AC28" s="43"/>
    </row>
    <row r="29" spans="1:61" x14ac:dyDescent="0.25">
      <c r="A29" s="12"/>
      <c r="B29" s="270"/>
      <c r="C29" s="88">
        <f>IF(AND(YEAR(SeptOffSet+2)=BegCalYear,MONTH(SeptOffSet+2)=9),SeptOffSet+2,"")</f>
        <v>45537</v>
      </c>
      <c r="D29" s="197">
        <f>IF(AND(YEAR(SeptOffSet+3)=BegCalYear,MONTH(SeptOffSet+3)=9),SeptOffSet+3,"")</f>
        <v>45538</v>
      </c>
      <c r="E29" s="197">
        <f>IF(AND(YEAR(SeptOffSet+4)=BegCalYear,MONTH(SeptOffSet+4)=9),SeptOffSet+4,"")</f>
        <v>45539</v>
      </c>
      <c r="F29" s="197">
        <f>IF(AND(YEAR(SeptOffSet+5)=BegCalYear,MONTH(SeptOffSet+5)=9),SeptOffSet+5,"")</f>
        <v>45540</v>
      </c>
      <c r="G29" s="198">
        <f>IF(AND(YEAR(SeptOffSet+6)=BegCalYear,MONTH(SeptOffSet+6)=9),SeptOffSet+6,"")</f>
        <v>45541</v>
      </c>
      <c r="H29" s="159"/>
      <c r="I29" s="313"/>
      <c r="J29" s="88">
        <f>IF(AND(YEAR(DecOffSet+2)=BegCalYear,MONTH(DecOffSet+2)=12),DecOffSet+2,"")</f>
        <v>45628</v>
      </c>
      <c r="K29" s="197">
        <f>IF(AND(YEAR(DecOffSet+3)=BegCalYear,MONTH(DecOffSet+3)=12),DecOffSet+3,"")</f>
        <v>45629</v>
      </c>
      <c r="L29" s="197">
        <f>IF(AND(YEAR(DecOffSet+4)=BegCalYear,MONTH(DecOffSet+4)=12),DecOffSet+4,"")</f>
        <v>45630</v>
      </c>
      <c r="M29" s="197">
        <f>IF(AND(YEAR(DecOffSet+5)=BegCalYear,MONTH(DecOffSet+5)=12),DecOffSet+5,"")</f>
        <v>45631</v>
      </c>
      <c r="N29" s="198">
        <f>IF(AND(YEAR(DecOffSet+6)=BegCalYear,MONTH(DecOffSet+6)=12),DecOffSet+6,"")</f>
        <v>45632</v>
      </c>
      <c r="O29" s="159"/>
      <c r="P29" s="307"/>
      <c r="Q29" s="88">
        <f>IF(AND(YEAR(MarOffSet+9)=CalendarYear,MONTH(MarOffSet+9)=3),MarOffSet+9,"")</f>
        <v>45719</v>
      </c>
      <c r="R29" s="197">
        <f>IF(AND(YEAR(MarOffSet+10)=CalendarYear,MONTH(MarOffSet+10)=3),MarOffSet+10,"")</f>
        <v>45720</v>
      </c>
      <c r="S29" s="197">
        <f>IF(AND(YEAR(MarOffSet+11)=CalendarYear,MONTH(MarOffSet+11)=3),MarOffSet+11,"")</f>
        <v>45721</v>
      </c>
      <c r="T29" s="197">
        <f>IF(AND(YEAR(MarOffSet+12)=CalendarYear,MONTH(MarOffSet+12)=3),MarOffSet+12,"")</f>
        <v>45722</v>
      </c>
      <c r="U29" s="198">
        <f>IF(AND(YEAR(MarOffSet+13)=CalendarYear,MONTH(MarOffSet+13)=3),MarOffSet+13,"")</f>
        <v>45723</v>
      </c>
      <c r="V29" s="159"/>
      <c r="W29" s="313"/>
      <c r="X29" s="88">
        <f>IF(AND(YEAR(JuneOffSet+2)=CalendarYear,MONTH(JuneOffSet+2)=6),JuneOffSet+2,"")</f>
        <v>45810</v>
      </c>
      <c r="Y29" s="197">
        <f>IF(AND(YEAR(JuneOffSet+3)=CalendarYear,MONTH(JuneOffSet+3)=6),JuneOffSet+3,"")</f>
        <v>45811</v>
      </c>
      <c r="Z29" s="197">
        <f>IF(AND(YEAR(JuneOffSet+4)=CalendarYear,MONTH(JuneOffSet+4)=6),JuneOffSet+4,"")</f>
        <v>45812</v>
      </c>
      <c r="AA29" s="197">
        <f>IF(AND(YEAR(JuneOffSet+5)=CalendarYear,MONTH(JuneOffSet+5)=6),JuneOffSet+5,"")</f>
        <v>45813</v>
      </c>
      <c r="AB29" s="198">
        <f>IF(AND(YEAR(JuneOffSet+6)=CalendarYear,MONTH(JuneOffSet+6)=6),JuneOffSet+6,"")</f>
        <v>45814</v>
      </c>
      <c r="AC29" s="43"/>
    </row>
    <row r="30" spans="1:61" ht="15" customHeight="1" x14ac:dyDescent="0.25">
      <c r="A30" s="12"/>
      <c r="B30" s="270"/>
      <c r="C30" s="156" t="str">
        <f>IF('Teacher A'!C29+'Teacher B'!C29=0,"",IF(AND('Teacher A'!C29&gt;6,'Teacher B'!C29=0),UPPER($M$2),IF(AND('Teacher B'!C29&gt;6,'Teacher A'!C29=0),UPPER($M$3),IF(AND('Teacher A'!C29&gt;0,'Teacher A'!C29&lt;6,'Teacher B'!C29=0),LOWER($M$2),IF(AND('Teacher B'!C29&lt;6,'Teacher B'!C29&gt;0,'Teacher A'!C29=0),LOWER($M$3),IF(AND('Teacher A'!C29+'Teacher B'!C29&lt;8.5,'Teacher A'!C29+'Teacher B'!C29&gt;0),"Both","Error"))))))</f>
        <v/>
      </c>
      <c r="D30" s="157" t="str">
        <f>IF('Teacher A'!D29+'Teacher B'!D29=0,"",IF(AND('Teacher A'!D29&gt;6,'Teacher B'!D29=0),UPPER($M$2),IF(AND('Teacher B'!D29&gt;6,'Teacher A'!D29=0),UPPER($M$3),IF(AND('Teacher A'!D29&gt;0,'Teacher A'!D29&lt;6,'Teacher B'!D29=0),LOWER($M$2),IF(AND('Teacher B'!D29&lt;6,'Teacher B'!D29&gt;0,'Teacher A'!D29=0),LOWER($M$3),IF(AND('Teacher A'!D29+'Teacher B'!D29&lt;8.5,'Teacher A'!D29+'Teacher B'!D29&gt;0),"Both","Error"))))))</f>
        <v/>
      </c>
      <c r="E30" s="157" t="str">
        <f>IF('Teacher A'!E29+'Teacher B'!E29=0,"",IF(AND('Teacher A'!E29&gt;6,'Teacher B'!E29=0),UPPER($M$2),IF(AND('Teacher B'!E29&gt;6,'Teacher A'!E29=0),UPPER($M$3),IF(AND('Teacher A'!E29&gt;0,'Teacher A'!E29&lt;6,'Teacher B'!E29=0),LOWER($M$2),IF(AND('Teacher B'!E29&lt;6,'Teacher B'!E29&gt;0,'Teacher A'!E29=0),LOWER($M$3),IF(AND('Teacher A'!E29+'Teacher B'!E29&lt;8.5,'Teacher A'!E29+'Teacher B'!E29&gt;0),"Both","Error"))))))</f>
        <v/>
      </c>
      <c r="F30" s="157" t="str">
        <f>IF('Teacher A'!F29+'Teacher B'!F29=0,"",IF(AND('Teacher A'!F29&gt;6,'Teacher B'!F29=0),UPPER($M$2),IF(AND('Teacher B'!F29&gt;6,'Teacher A'!F29=0),UPPER($M$3),IF(AND('Teacher A'!F29&gt;0,'Teacher A'!F29&lt;6,'Teacher B'!F29=0),LOWER($M$2),IF(AND('Teacher B'!F29&lt;6,'Teacher B'!F29&gt;0,'Teacher A'!F29=0),LOWER($M$3),IF(AND('Teacher A'!F29+'Teacher B'!F29&lt;8.5,'Teacher A'!F29+'Teacher B'!F29&gt;0),"Both","Error"))))))</f>
        <v/>
      </c>
      <c r="G30" s="158" t="str">
        <f>IF('Teacher A'!G29+'Teacher B'!G29=0,"",IF(AND('Teacher A'!G29&gt;6,'Teacher B'!G29=0),UPPER($M$2),IF(AND('Teacher B'!G29&gt;6,'Teacher A'!G29=0),UPPER($M$3),IF(AND('Teacher A'!G29&gt;0,'Teacher A'!G29&lt;6,'Teacher B'!G29=0),LOWER($M$2),IF(AND('Teacher B'!G29&lt;6,'Teacher B'!G29&gt;0,'Teacher A'!G29=0),LOWER($M$3),IF(AND('Teacher A'!G29+'Teacher B'!G29&lt;8.5,'Teacher A'!G29+'Teacher B'!G29&gt;0),"Both","Error"))))))</f>
        <v/>
      </c>
      <c r="H30" s="159"/>
      <c r="I30" s="313"/>
      <c r="J30" s="156" t="str">
        <f>IF('Teacher A'!J29+'Teacher B'!J29=0,"",IF(AND('Teacher A'!J29&gt;6,'Teacher B'!J29=0),UPPER($M$2),IF(AND('Teacher B'!J29&gt;6,'Teacher A'!J29=0),UPPER($M$3),IF(AND('Teacher A'!J29&gt;0,'Teacher A'!J29&lt;6,'Teacher B'!J29=0),LOWER($M$2),IF(AND('Teacher B'!J29&lt;6,'Teacher B'!J29&gt;0,'Teacher A'!J29=0),LOWER($M$3),IF(AND('Teacher A'!J29+'Teacher B'!J29&lt;8.5,'Teacher A'!J29+'Teacher B'!J29&gt;0),"Both","Error"))))))</f>
        <v/>
      </c>
      <c r="K30" s="157" t="str">
        <f>IF('Teacher A'!K29+'Teacher B'!K29=0,"",IF(AND('Teacher A'!K29&gt;6,'Teacher B'!K29=0),UPPER($M$2),IF(AND('Teacher B'!K29&gt;6,'Teacher A'!K29=0),UPPER($M$3),IF(AND('Teacher A'!K29&gt;0,'Teacher A'!K29&lt;6,'Teacher B'!K29=0),LOWER($M$2),IF(AND('Teacher B'!K29&lt;6,'Teacher B'!K29&gt;0,'Teacher A'!K29=0),LOWER($M$3),IF(AND('Teacher A'!K29+'Teacher B'!K29&lt;8.5,'Teacher A'!K29+'Teacher B'!K29&gt;0),"Both","Error"))))))</f>
        <v/>
      </c>
      <c r="L30" s="157" t="str">
        <f>IF('Teacher A'!L29+'Teacher B'!L29=0,"",IF(AND('Teacher A'!L29&gt;6,'Teacher B'!L29=0),UPPER($M$2),IF(AND('Teacher B'!L29&gt;6,'Teacher A'!L29=0),UPPER($M$3),IF(AND('Teacher A'!L29&gt;0,'Teacher A'!L29&lt;6,'Teacher B'!L29=0),LOWER($M$2),IF(AND('Teacher B'!L29&lt;6,'Teacher B'!L29&gt;0,'Teacher A'!L29=0),LOWER($M$3),IF(AND('Teacher A'!L29+'Teacher B'!L29&lt;8.5,'Teacher A'!L29+'Teacher B'!L29&gt;0),"Both","Error"))))))</f>
        <v/>
      </c>
      <c r="M30" s="157" t="str">
        <f>IF('Teacher A'!M29+'Teacher B'!M29=0,"",IF(AND('Teacher A'!M29&gt;6,'Teacher B'!M29=0),UPPER($M$2),IF(AND('Teacher B'!M29&gt;6,'Teacher A'!M29=0),UPPER($M$3),IF(AND('Teacher A'!M29&gt;0,'Teacher A'!M29&lt;6,'Teacher B'!M29=0),LOWER($M$2),IF(AND('Teacher B'!M29&lt;6,'Teacher B'!M29&gt;0,'Teacher A'!M29=0),LOWER($M$3),IF(AND('Teacher A'!M29+'Teacher B'!M29&lt;8.5,'Teacher A'!M29+'Teacher B'!M29&gt;0),"Both","Error"))))))</f>
        <v/>
      </c>
      <c r="N30" s="158" t="str">
        <f>IF('Teacher A'!N29+'Teacher B'!N29=0,"",IF(AND('Teacher A'!N29&gt;6,'Teacher B'!N29=0),UPPER($M$2),IF(AND('Teacher B'!N29&gt;6,'Teacher A'!N29=0),UPPER($M$3),IF(AND('Teacher A'!N29&gt;0,'Teacher A'!N29&lt;6,'Teacher B'!N29=0),LOWER($M$2),IF(AND('Teacher B'!N29&lt;6,'Teacher B'!N29&gt;0,'Teacher A'!N29=0),LOWER($M$3),IF(AND('Teacher A'!N29+'Teacher B'!N29&lt;8.5,'Teacher A'!N29+'Teacher B'!N29&gt;0),"Both","Error"))))))</f>
        <v/>
      </c>
      <c r="O30" s="159"/>
      <c r="P30" s="307"/>
      <c r="Q30" s="156" t="str">
        <f>IF('Teacher A'!Q29+'Teacher B'!Q29=0,"",IF(AND('Teacher A'!Q29&gt;6,'Teacher B'!Q29=0),UPPER($M$2),IF(AND('Teacher B'!Q29&gt;6,'Teacher A'!Q29=0),UPPER($M$3),IF(AND('Teacher A'!Q29&gt;0,'Teacher A'!Q29&lt;6,'Teacher B'!Q29=0),LOWER($M$2),IF(AND('Teacher B'!Q29&lt;6,'Teacher B'!Q29&gt;0,'Teacher A'!Q29=0),LOWER($M$3),IF(AND('Teacher A'!Q29+'Teacher B'!Q29&lt;8.5,'Teacher A'!Q29+'Teacher B'!Q29&gt;0),"Both","Error"))))))</f>
        <v/>
      </c>
      <c r="R30" s="157" t="str">
        <f>IF('Teacher A'!R29+'Teacher B'!R29=0,"",IF(AND('Teacher A'!R29&gt;6,'Teacher B'!R29=0),UPPER($M$2),IF(AND('Teacher B'!R29&gt;6,'Teacher A'!R29=0),UPPER($M$3),IF(AND('Teacher A'!R29&gt;0,'Teacher A'!R29&lt;6,'Teacher B'!R29=0),LOWER($M$2),IF(AND('Teacher B'!R29&lt;6,'Teacher B'!R29&gt;0,'Teacher A'!R29=0),LOWER($M$3),IF(AND('Teacher A'!R29+'Teacher B'!R29&lt;8.5,'Teacher A'!R29+'Teacher B'!R29&gt;0),"Both","Error"))))))</f>
        <v/>
      </c>
      <c r="S30" s="157" t="str">
        <f>IF('Teacher A'!S29+'Teacher B'!S29=0,"",IF(AND('Teacher A'!S29&gt;6,'Teacher B'!S29=0),UPPER($M$2),IF(AND('Teacher B'!S29&gt;6,'Teacher A'!S29=0),UPPER($M$3),IF(AND('Teacher A'!S29&gt;0,'Teacher A'!S29&lt;6,'Teacher B'!S29=0),LOWER($M$2),IF(AND('Teacher B'!S29&lt;6,'Teacher B'!S29&gt;0,'Teacher A'!S29=0),LOWER($M$3),IF(AND('Teacher A'!S29+'Teacher B'!S29&lt;8.5,'Teacher A'!S29+'Teacher B'!S29&gt;0),"Both","Error"))))))</f>
        <v/>
      </c>
      <c r="T30" s="157" t="str">
        <f>IF('Teacher A'!T29+'Teacher B'!T29=0,"",IF(AND('Teacher A'!T29&gt;6,'Teacher B'!T29=0),UPPER($M$2),IF(AND('Teacher B'!T29&gt;6,'Teacher A'!T29=0),UPPER($M$3),IF(AND('Teacher A'!T29&gt;0,'Teacher A'!T29&lt;6,'Teacher B'!T29=0),LOWER($M$2),IF(AND('Teacher B'!T29&lt;6,'Teacher B'!T29&gt;0,'Teacher A'!T29=0),LOWER($M$3),IF(AND('Teacher A'!T29+'Teacher B'!T29&lt;8.5,'Teacher A'!T29+'Teacher B'!T29&gt;0),"Both","Error"))))))</f>
        <v/>
      </c>
      <c r="U30" s="158" t="str">
        <f>IF('Teacher A'!U29+'Teacher B'!U29=0,"",IF(AND('Teacher A'!U29&gt;6,'Teacher B'!U29=0),UPPER($M$2),IF(AND('Teacher B'!U29&gt;6,'Teacher A'!U29=0),UPPER($M$3),IF(AND('Teacher A'!U29&gt;0,'Teacher A'!U29&lt;6,'Teacher B'!U29=0),LOWER($M$2),IF(AND('Teacher B'!U29&lt;6,'Teacher B'!U29&gt;0,'Teacher A'!U29=0),LOWER($M$3),IF(AND('Teacher A'!U29+'Teacher B'!U29&lt;8.5,'Teacher A'!U29+'Teacher B'!U29&gt;0),"Both","Error"))))))</f>
        <v/>
      </c>
      <c r="V30" s="159"/>
      <c r="W30" s="313"/>
      <c r="X30" s="156" t="str">
        <f>IF('Teacher A'!X29+'Teacher B'!X29=0,"",IF(AND('Teacher A'!X29&gt;6,'Teacher B'!X29=0),UPPER($M$2),IF(AND('Teacher B'!X29&gt;6,'Teacher A'!X29=0),UPPER($M$3),IF(AND('Teacher A'!X29&gt;0,'Teacher A'!X29&lt;6,'Teacher B'!X29=0),LOWER($M$2),IF(AND('Teacher B'!X29&lt;6,'Teacher B'!X29&gt;0,'Teacher A'!X29=0),LOWER($M$3),IF(AND('Teacher A'!X29+'Teacher B'!X29&lt;8.5,'Teacher A'!X29+'Teacher B'!X29&gt;0),"Both","Error"))))))</f>
        <v/>
      </c>
      <c r="Y30" s="157" t="str">
        <f>IF('Teacher A'!Y29+'Teacher B'!Y29=0,"",IF(AND('Teacher A'!Y29&gt;6,'Teacher B'!Y29=0),UPPER($M$2),IF(AND('Teacher B'!Y29&gt;6,'Teacher A'!Y29=0),UPPER($M$3),IF(AND('Teacher A'!Y29&gt;0,'Teacher A'!Y29&lt;6,'Teacher B'!Y29=0),LOWER($M$2),IF(AND('Teacher B'!Y29&lt;6,'Teacher B'!Y29&gt;0,'Teacher A'!Y29=0),LOWER($M$3),IF(AND('Teacher A'!Y29+'Teacher B'!Y29&lt;8.5,'Teacher A'!Y29+'Teacher B'!Y29&gt;0),"Both","Error"))))))</f>
        <v/>
      </c>
      <c r="Z30" s="157" t="str">
        <f>IF('Teacher A'!Z29+'Teacher B'!Z29=0,"",IF(AND('Teacher A'!Z29&gt;6,'Teacher B'!Z29=0),UPPER($M$2),IF(AND('Teacher B'!Z29&gt;6,'Teacher A'!Z29=0),UPPER($M$3),IF(AND('Teacher A'!Z29&gt;0,'Teacher A'!Z29&lt;6,'Teacher B'!Z29=0),LOWER($M$2),IF(AND('Teacher B'!Z29&lt;6,'Teacher B'!Z29&gt;0,'Teacher A'!Z29=0),LOWER($M$3),IF(AND('Teacher A'!Z29+'Teacher B'!Z29&lt;8.5,'Teacher A'!Z29+'Teacher B'!Z29&gt;0),"Both","Error"))))))</f>
        <v/>
      </c>
      <c r="AA30" s="157" t="str">
        <f>IF('Teacher A'!AA29+'Teacher B'!AA29=0,"",IF(AND('Teacher A'!AA29&gt;6,'Teacher B'!AA29=0),UPPER($M$2),IF(AND('Teacher B'!AA29&gt;6,'Teacher A'!AA29=0),UPPER($M$3),IF(AND('Teacher A'!AA29&gt;0,'Teacher A'!AA29&lt;6,'Teacher B'!AA29=0),LOWER($M$2),IF(AND('Teacher B'!AA29&lt;6,'Teacher B'!AA29&gt;0,'Teacher A'!AA29=0),LOWER($M$3),IF(AND('Teacher A'!AA29+'Teacher B'!AA29&lt;8.5,'Teacher A'!AA29+'Teacher B'!AA29&gt;0),"Both","Error"))))))</f>
        <v/>
      </c>
      <c r="AB30" s="158" t="str">
        <f>IF('Teacher A'!AB29+'Teacher B'!AB29=0,"",IF(AND('Teacher A'!AB29&gt;6,'Teacher B'!AB29=0),UPPER($M$2),IF(AND('Teacher B'!AB29&gt;6,'Teacher A'!AB29=0),UPPER($M$3),IF(AND('Teacher A'!AB29&gt;0,'Teacher A'!AB29&lt;6,'Teacher B'!AB29=0),LOWER($M$2),IF(AND('Teacher B'!AB29&lt;6,'Teacher B'!AB29&gt;0,'Teacher A'!AB29=0),LOWER($M$3),IF(AND('Teacher A'!AB29+'Teacher B'!AB29&lt;8.5,'Teacher A'!AB29+'Teacher B'!AB29&gt;0),"Both","Error"))))))</f>
        <v/>
      </c>
      <c r="AC30" s="43"/>
    </row>
    <row r="31" spans="1:61" x14ac:dyDescent="0.25">
      <c r="A31" s="12"/>
      <c r="B31" s="270"/>
      <c r="C31" s="88">
        <f>IF(AND(YEAR(SeptOffSet+9)=BegCalYear,MONTH(SeptOffSet+9)=9),SeptOffSet+9,"")</f>
        <v>45544</v>
      </c>
      <c r="D31" s="197">
        <f>IF(AND(YEAR(SeptOffSet+10)=BegCalYear,MONTH(SeptOffSet+10)=9),SeptOffSet+10,"")</f>
        <v>45545</v>
      </c>
      <c r="E31" s="197">
        <f>IF(AND(YEAR(SeptOffSet+11)=BegCalYear,MONTH(SeptOffSet+11)=9),SeptOffSet+11,"")</f>
        <v>45546</v>
      </c>
      <c r="F31" s="197">
        <f>IF(AND(YEAR(SeptOffSet+12)=BegCalYear,MONTH(SeptOffSet+12)=9),SeptOffSet+12,"")</f>
        <v>45547</v>
      </c>
      <c r="G31" s="198">
        <f>IF(AND(YEAR(SeptOffSet+13)=BegCalYear,MONTH(SeptOffSet+13)=9),SeptOffSet+13,"")</f>
        <v>45548</v>
      </c>
      <c r="H31" s="159"/>
      <c r="I31" s="313"/>
      <c r="J31" s="88">
        <f>IF(AND(YEAR(DecOffSet+9)=BegCalYear,MONTH(DecOffSet+9)=12),DecOffSet+9,"")</f>
        <v>45635</v>
      </c>
      <c r="K31" s="197">
        <f>IF(AND(YEAR(DecOffSet+10)=BegCalYear,MONTH(DecOffSet+10)=12),DecOffSet+10,"")</f>
        <v>45636</v>
      </c>
      <c r="L31" s="197">
        <f>IF(AND(YEAR(DecOffSet+11)=BegCalYear,MONTH(DecOffSet+11)=12),DecOffSet+11,"")</f>
        <v>45637</v>
      </c>
      <c r="M31" s="197">
        <f>IF(AND(YEAR(DecOffSet+12)=BegCalYear,MONTH(DecOffSet+12)=12),DecOffSet+12,"")</f>
        <v>45638</v>
      </c>
      <c r="N31" s="198">
        <f>IF(AND(YEAR(DecOffSet+13)=BegCalYear,MONTH(DecOffSet+13)=12),DecOffSet+13,"")</f>
        <v>45639</v>
      </c>
      <c r="O31" s="159"/>
      <c r="P31" s="307"/>
      <c r="Q31" s="88">
        <f>IF(AND(YEAR(MarOffSet+16)=CalendarYear,MONTH(MarOffSet+16)=3),MarOffSet+16,"")</f>
        <v>45726</v>
      </c>
      <c r="R31" s="197">
        <f>IF(AND(YEAR(MarOffSet+17)=CalendarYear,MONTH(MarOffSet+17)=3),MarOffSet+17,"")</f>
        <v>45727</v>
      </c>
      <c r="S31" s="197">
        <f>IF(AND(YEAR(MarOffSet+18)=CalendarYear,MONTH(MarOffSet+18)=3),MarOffSet+18,"")</f>
        <v>45728</v>
      </c>
      <c r="T31" s="197">
        <f>IF(AND(YEAR(MarOffSet+19)=CalendarYear,MONTH(MarOffSet+19)=3),MarOffSet+19,"")</f>
        <v>45729</v>
      </c>
      <c r="U31" s="198">
        <f>IF(AND(YEAR(MarOffSet+20)=CalendarYear,MONTH(MarOffSet+20)=3),MarOffSet+20,"")</f>
        <v>45730</v>
      </c>
      <c r="V31" s="159"/>
      <c r="W31" s="313"/>
      <c r="X31" s="88">
        <f>IF(AND(YEAR(JuneOffSet+9)=CalendarYear,MONTH(JuneOffSet+9)=6),JuneOffSet+9,"")</f>
        <v>45817</v>
      </c>
      <c r="Y31" s="197">
        <f>IF(AND(YEAR(JuneOffSet+10)=CalendarYear,MONTH(JuneOffSet+10)=6),JuneOffSet+10,"")</f>
        <v>45818</v>
      </c>
      <c r="Z31" s="197">
        <f>IF(AND(YEAR(JuneOffSet+11)=CalendarYear,MONTH(JuneOffSet+11)=6),JuneOffSet+11,"")</f>
        <v>45819</v>
      </c>
      <c r="AA31" s="197">
        <f>IF(AND(YEAR(JuneOffSet+12)=CalendarYear,MONTH(JuneOffSet+12)=6),JuneOffSet+12,"")</f>
        <v>45820</v>
      </c>
      <c r="AB31" s="198">
        <f>IF(AND(YEAR(JuneOffSet+13)=CalendarYear,MONTH(JuneOffSet+13)=6),JuneOffSet+13,"")</f>
        <v>45821</v>
      </c>
      <c r="AC31" s="43"/>
    </row>
    <row r="32" spans="1:61" x14ac:dyDescent="0.25">
      <c r="A32" s="12"/>
      <c r="B32" s="270"/>
      <c r="C32" s="156" t="str">
        <f>IF('Teacher A'!C31+'Teacher B'!C31=0,"",IF(AND('Teacher A'!C31&gt;6,'Teacher B'!C31=0),UPPER($M$2),IF(AND('Teacher B'!C31&gt;6,'Teacher A'!C31=0),UPPER($M$3),IF(AND('Teacher A'!C31&gt;0,'Teacher A'!C31&lt;6,'Teacher B'!C31=0),LOWER($M$2),IF(AND('Teacher B'!C31&lt;6,'Teacher B'!C31&gt;0,'Teacher A'!C31=0),LOWER($M$3),IF(AND('Teacher A'!C31+'Teacher B'!C31&lt;8.5,'Teacher A'!C31+'Teacher B'!C31&gt;0),"Both","Error"))))))</f>
        <v/>
      </c>
      <c r="D32" s="157" t="str">
        <f>IF('Teacher A'!D31+'Teacher B'!D31=0,"",IF(AND('Teacher A'!D31&gt;6,'Teacher B'!D31=0),UPPER($M$2),IF(AND('Teacher B'!D31&gt;6,'Teacher A'!D31=0),UPPER($M$3),IF(AND('Teacher A'!D31&gt;0,'Teacher A'!D31&lt;6,'Teacher B'!D31=0),LOWER($M$2),IF(AND('Teacher B'!D31&lt;6,'Teacher B'!D31&gt;0,'Teacher A'!D31=0),LOWER($M$3),IF(AND('Teacher A'!D31+'Teacher B'!D31&lt;8.5,'Teacher A'!D31+'Teacher B'!D31&gt;0),"Both","Error"))))))</f>
        <v/>
      </c>
      <c r="E32" s="157" t="str">
        <f>IF('Teacher A'!E31+'Teacher B'!E31=0,"",IF(AND('Teacher A'!E31&gt;6,'Teacher B'!E31=0),UPPER($M$2),IF(AND('Teacher B'!E31&gt;6,'Teacher A'!E31=0),UPPER($M$3),IF(AND('Teacher A'!E31&gt;0,'Teacher A'!E31&lt;6,'Teacher B'!E31=0),LOWER($M$2),IF(AND('Teacher B'!E31&lt;6,'Teacher B'!E31&gt;0,'Teacher A'!E31=0),LOWER($M$3),IF(AND('Teacher A'!E31+'Teacher B'!E31&lt;8.5,'Teacher A'!E31+'Teacher B'!E31&gt;0),"Both","Error"))))))</f>
        <v/>
      </c>
      <c r="F32" s="157" t="str">
        <f>IF('Teacher A'!F31+'Teacher B'!F31=0,"",IF(AND('Teacher A'!F31&gt;6,'Teacher B'!F31=0),UPPER($M$2),IF(AND('Teacher B'!F31&gt;6,'Teacher A'!F31=0),UPPER($M$3),IF(AND('Teacher A'!F31&gt;0,'Teacher A'!F31&lt;6,'Teacher B'!F31=0),LOWER($M$2),IF(AND('Teacher B'!F31&lt;6,'Teacher B'!F31&gt;0,'Teacher A'!F31=0),LOWER($M$3),IF(AND('Teacher A'!F31+'Teacher B'!F31&lt;8.5,'Teacher A'!F31+'Teacher B'!F31&gt;0),"Both","Error"))))))</f>
        <v/>
      </c>
      <c r="G32" s="158" t="str">
        <f>IF('Teacher A'!G31+'Teacher B'!G31=0,"",IF(AND('Teacher A'!G31&gt;6,'Teacher B'!G31=0),UPPER($M$2),IF(AND('Teacher B'!G31&gt;6,'Teacher A'!G31=0),UPPER($M$3),IF(AND('Teacher A'!G31&gt;0,'Teacher A'!G31&lt;6,'Teacher B'!G31=0),LOWER($M$2),IF(AND('Teacher B'!G31&lt;6,'Teacher B'!G31&gt;0,'Teacher A'!G31=0),LOWER($M$3),IF(AND('Teacher A'!G31+'Teacher B'!G31&lt;8.5,'Teacher A'!G31+'Teacher B'!G31&gt;0),"Both","Error"))))))</f>
        <v/>
      </c>
      <c r="H32" s="159"/>
      <c r="I32" s="313"/>
      <c r="J32" s="156" t="str">
        <f>IF('Teacher A'!J31+'Teacher B'!J31=0,"",IF(AND('Teacher A'!J31&gt;6,'Teacher B'!J31=0),UPPER($M$2),IF(AND('Teacher B'!J31&gt;6,'Teacher A'!J31=0),UPPER($M$3),IF(AND('Teacher A'!J31&gt;0,'Teacher A'!J31&lt;6,'Teacher B'!J31=0),LOWER($M$2),IF(AND('Teacher B'!J31&lt;6,'Teacher B'!J31&gt;0,'Teacher A'!J31=0),LOWER($M$3),IF(AND('Teacher A'!J31+'Teacher B'!J31&lt;8.5,'Teacher A'!J31+'Teacher B'!J31&gt;0),"Both","Error"))))))</f>
        <v/>
      </c>
      <c r="K32" s="157" t="str">
        <f>IF('Teacher A'!K31+'Teacher B'!K31=0,"",IF(AND('Teacher A'!K31&gt;6,'Teacher B'!K31=0),UPPER($M$2),IF(AND('Teacher B'!K31&gt;6,'Teacher A'!K31=0),UPPER($M$3),IF(AND('Teacher A'!K31&gt;0,'Teacher A'!K31&lt;6,'Teacher B'!K31=0),LOWER($M$2),IF(AND('Teacher B'!K31&lt;6,'Teacher B'!K31&gt;0,'Teacher A'!K31=0),LOWER($M$3),IF(AND('Teacher A'!K31+'Teacher B'!K31&lt;8.5,'Teacher A'!K31+'Teacher B'!K31&gt;0),"Both","Error"))))))</f>
        <v/>
      </c>
      <c r="L32" s="157" t="str">
        <f>IF('Teacher A'!L31+'Teacher B'!L31=0,"",IF(AND('Teacher A'!L31&gt;6,'Teacher B'!L31=0),UPPER($M$2),IF(AND('Teacher B'!L31&gt;6,'Teacher A'!L31=0),UPPER($M$3),IF(AND('Teacher A'!L31&gt;0,'Teacher A'!L31&lt;6,'Teacher B'!L31=0),LOWER($M$2),IF(AND('Teacher B'!L31&lt;6,'Teacher B'!L31&gt;0,'Teacher A'!L31=0),LOWER($M$3),IF(AND('Teacher A'!L31+'Teacher B'!L31&lt;8.5,'Teacher A'!L31+'Teacher B'!L31&gt;0),"Both","Error"))))))</f>
        <v/>
      </c>
      <c r="M32" s="157" t="str">
        <f>IF('Teacher A'!M31+'Teacher B'!M31=0,"",IF(AND('Teacher A'!M31&gt;6,'Teacher B'!M31=0),UPPER($M$2),IF(AND('Teacher B'!M31&gt;6,'Teacher A'!M31=0),UPPER($M$3),IF(AND('Teacher A'!M31&gt;0,'Teacher A'!M31&lt;6,'Teacher B'!M31=0),LOWER($M$2),IF(AND('Teacher B'!M31&lt;6,'Teacher B'!M31&gt;0,'Teacher A'!M31=0),LOWER($M$3),IF(AND('Teacher A'!M31+'Teacher B'!M31&lt;8.5,'Teacher A'!M31+'Teacher B'!M31&gt;0),"Both","Error"))))))</f>
        <v/>
      </c>
      <c r="N32" s="158" t="str">
        <f>IF('Teacher A'!N31+'Teacher B'!N31=0,"",IF(AND('Teacher A'!N31&gt;6,'Teacher B'!N31=0),UPPER($M$2),IF(AND('Teacher B'!N31&gt;6,'Teacher A'!N31=0),UPPER($M$3),IF(AND('Teacher A'!N31&gt;0,'Teacher A'!N31&lt;6,'Teacher B'!N31=0),LOWER($M$2),IF(AND('Teacher B'!N31&lt;6,'Teacher B'!N31&gt;0,'Teacher A'!N31=0),LOWER($M$3),IF(AND('Teacher A'!N31+'Teacher B'!N31&lt;8.5,'Teacher A'!N31+'Teacher B'!N31&gt;0),"Both","Error"))))))</f>
        <v/>
      </c>
      <c r="O32" s="159"/>
      <c r="P32" s="307"/>
      <c r="Q32" s="156" t="str">
        <f>IF('Teacher A'!Q31+'Teacher B'!Q31=0,"",IF(AND('Teacher A'!Q31&gt;6,'Teacher B'!Q31=0),UPPER($M$2),IF(AND('Teacher B'!Q31&gt;6,'Teacher A'!Q31=0),UPPER($M$3),IF(AND('Teacher A'!Q31&gt;0,'Teacher A'!Q31&lt;6,'Teacher B'!Q31=0),LOWER($M$2),IF(AND('Teacher B'!Q31&lt;6,'Teacher B'!Q31&gt;0,'Teacher A'!Q31=0),LOWER($M$3),IF(AND('Teacher A'!Q31+'Teacher B'!Q31&lt;8.5,'Teacher A'!Q31+'Teacher B'!Q31&gt;0),"Both","Error"))))))</f>
        <v/>
      </c>
      <c r="R32" s="157" t="str">
        <f>IF('Teacher A'!R31+'Teacher B'!R31=0,"",IF(AND('Teacher A'!R31&gt;6,'Teacher B'!R31=0),UPPER($M$2),IF(AND('Teacher B'!R31&gt;6,'Teacher A'!R31=0),UPPER($M$3),IF(AND('Teacher A'!R31&gt;0,'Teacher A'!R31&lt;6,'Teacher B'!R31=0),LOWER($M$2),IF(AND('Teacher B'!R31&lt;6,'Teacher B'!R31&gt;0,'Teacher A'!R31=0),LOWER($M$3),IF(AND('Teacher A'!R31+'Teacher B'!R31&lt;8.5,'Teacher A'!R31+'Teacher B'!R31&gt;0),"Both","Error"))))))</f>
        <v/>
      </c>
      <c r="S32" s="157" t="str">
        <f>IF('Teacher A'!S31+'Teacher B'!S31=0,"",IF(AND('Teacher A'!S31&gt;6,'Teacher B'!S31=0),UPPER($M$2),IF(AND('Teacher B'!S31&gt;6,'Teacher A'!S31=0),UPPER($M$3),IF(AND('Teacher A'!S31&gt;0,'Teacher A'!S31&lt;6,'Teacher B'!S31=0),LOWER($M$2),IF(AND('Teacher B'!S31&lt;6,'Teacher B'!S31&gt;0,'Teacher A'!S31=0),LOWER($M$3),IF(AND('Teacher A'!S31+'Teacher B'!S31&lt;8.5,'Teacher A'!S31+'Teacher B'!S31&gt;0),"Both","Error"))))))</f>
        <v/>
      </c>
      <c r="T32" s="157" t="str">
        <f>IF('Teacher A'!T31+'Teacher B'!T31=0,"",IF(AND('Teacher A'!T31&gt;6,'Teacher B'!T31=0),UPPER($M$2),IF(AND('Teacher B'!T31&gt;6,'Teacher A'!T31=0),UPPER($M$3),IF(AND('Teacher A'!T31&gt;0,'Teacher A'!T31&lt;6,'Teacher B'!T31=0),LOWER($M$2),IF(AND('Teacher B'!T31&lt;6,'Teacher B'!T31&gt;0,'Teacher A'!T31=0),LOWER($M$3),IF(AND('Teacher A'!T31+'Teacher B'!T31&lt;8.5,'Teacher A'!T31+'Teacher B'!T31&gt;0),"Both","Error"))))))</f>
        <v/>
      </c>
      <c r="U32" s="158" t="str">
        <f>IF('Teacher A'!U31+'Teacher B'!U31=0,"",IF(AND('Teacher A'!U31&gt;6,'Teacher B'!U31=0),UPPER($M$2),IF(AND('Teacher B'!U31&gt;6,'Teacher A'!U31=0),UPPER($M$3),IF(AND('Teacher A'!U31&gt;0,'Teacher A'!U31&lt;6,'Teacher B'!U31=0),LOWER($M$2),IF(AND('Teacher B'!U31&lt;6,'Teacher B'!U31&gt;0,'Teacher A'!U31=0),LOWER($M$3),IF(AND('Teacher A'!U31+'Teacher B'!U31&lt;8.5,'Teacher A'!U31+'Teacher B'!U31&gt;0),"Both","Error"))))))</f>
        <v/>
      </c>
      <c r="V32" s="159"/>
      <c r="W32" s="313"/>
      <c r="X32" s="156" t="str">
        <f>IF('Teacher A'!X31+'Teacher B'!X31=0,"",IF(AND('Teacher A'!X31&gt;6,'Teacher B'!X31=0),UPPER($M$2),IF(AND('Teacher B'!X31&gt;6,'Teacher A'!X31=0),UPPER($M$3),IF(AND('Teacher A'!X31&gt;0,'Teacher A'!X31&lt;6,'Teacher B'!X31=0),LOWER($M$2),IF(AND('Teacher B'!X31&lt;6,'Teacher B'!X31&gt;0,'Teacher A'!X31=0),LOWER($M$3),IF(AND('Teacher A'!X31+'Teacher B'!X31&lt;8.5,'Teacher A'!X31+'Teacher B'!X31&gt;0),"Both","Error"))))))</f>
        <v/>
      </c>
      <c r="Y32" s="157" t="str">
        <f>IF('Teacher A'!Y31+'Teacher B'!Y31=0,"",IF(AND('Teacher A'!Y31&gt;6,'Teacher B'!Y31=0),UPPER($M$2),IF(AND('Teacher B'!Y31&gt;6,'Teacher A'!Y31=0),UPPER($M$3),IF(AND('Teacher A'!Y31&gt;0,'Teacher A'!Y31&lt;6,'Teacher B'!Y31=0),LOWER($M$2),IF(AND('Teacher B'!Y31&lt;6,'Teacher B'!Y31&gt;0,'Teacher A'!Y31=0),LOWER($M$3),IF(AND('Teacher A'!Y31+'Teacher B'!Y31&lt;8.5,'Teacher A'!Y31+'Teacher B'!Y31&gt;0),"Both","Error"))))))</f>
        <v/>
      </c>
      <c r="Z32" s="157" t="str">
        <f>IF('Teacher A'!Z31+'Teacher B'!Z31=0,"",IF(AND('Teacher A'!Z31&gt;6,'Teacher B'!Z31=0),UPPER($M$2),IF(AND('Teacher B'!Z31&gt;6,'Teacher A'!Z31=0),UPPER($M$3),IF(AND('Teacher A'!Z31&gt;0,'Teacher A'!Z31&lt;6,'Teacher B'!Z31=0),LOWER($M$2),IF(AND('Teacher B'!Z31&lt;6,'Teacher B'!Z31&gt;0,'Teacher A'!Z31=0),LOWER($M$3),IF(AND('Teacher A'!Z31+'Teacher B'!Z31&lt;8.5,'Teacher A'!Z31+'Teacher B'!Z31&gt;0),"Both","Error"))))))</f>
        <v/>
      </c>
      <c r="AA32" s="157" t="str">
        <f>IF('Teacher A'!AA31+'Teacher B'!AA31=0,"",IF(AND('Teacher A'!AA31&gt;6,'Teacher B'!AA31=0),UPPER($M$2),IF(AND('Teacher B'!AA31&gt;6,'Teacher A'!AA31=0),UPPER($M$3),IF(AND('Teacher A'!AA31&gt;0,'Teacher A'!AA31&lt;6,'Teacher B'!AA31=0),LOWER($M$2),IF(AND('Teacher B'!AA31&lt;6,'Teacher B'!AA31&gt;0,'Teacher A'!AA31=0),LOWER($M$3),IF(AND('Teacher A'!AA31+'Teacher B'!AA31&lt;8.5,'Teacher A'!AA31+'Teacher B'!AA31&gt;0),"Both","Error"))))))</f>
        <v/>
      </c>
      <c r="AB32" s="158" t="str">
        <f>IF('Teacher A'!AB31+'Teacher B'!AB31=0,"",IF(AND('Teacher A'!AB31&gt;6,'Teacher B'!AB31=0),UPPER($M$2),IF(AND('Teacher B'!AB31&gt;6,'Teacher A'!AB31=0),UPPER($M$3),IF(AND('Teacher A'!AB31&gt;0,'Teacher A'!AB31&lt;6,'Teacher B'!AB31=0),LOWER($M$2),IF(AND('Teacher B'!AB31&lt;6,'Teacher B'!AB31&gt;0,'Teacher A'!AB31=0),LOWER($M$3),IF(AND('Teacher A'!AB31+'Teacher B'!AB31&lt;8.5,'Teacher A'!AB31+'Teacher B'!AB31&gt;0),"Both","Error"))))))</f>
        <v/>
      </c>
      <c r="AC32" s="43"/>
    </row>
    <row r="33" spans="1:32" x14ac:dyDescent="0.25">
      <c r="A33" s="12"/>
      <c r="B33" s="270"/>
      <c r="C33" s="88">
        <f>IF(AND(YEAR(SeptOffSet+16)=BegCalYear,MONTH(SeptOffSet+16)=9),SeptOffSet+16,"")</f>
        <v>45551</v>
      </c>
      <c r="D33" s="197">
        <f>IF(AND(YEAR(SeptOffSet+17)=BegCalYear,MONTH(SeptOffSet+17)=9),SeptOffSet+17,"")</f>
        <v>45552</v>
      </c>
      <c r="E33" s="197">
        <f>IF(AND(YEAR(SeptOffSet+18)=BegCalYear,MONTH(SeptOffSet+18)=9),SeptOffSet+18,"")</f>
        <v>45553</v>
      </c>
      <c r="F33" s="197">
        <f>IF(AND(YEAR(SeptOffSet+19)=BegCalYear,MONTH(SeptOffSet+19)=9),SeptOffSet+19,"")</f>
        <v>45554</v>
      </c>
      <c r="G33" s="198">
        <f>IF(AND(YEAR(SeptOffSet+20)=BegCalYear,MONTH(SeptOffSet+20)=9),SeptOffSet+20,"")</f>
        <v>45555</v>
      </c>
      <c r="H33" s="159"/>
      <c r="I33" s="313"/>
      <c r="J33" s="88">
        <f>IF(AND(YEAR(DecOffSet+16)=BegCalYear,MONTH(DecOffSet+16)=12),DecOffSet+16,"")</f>
        <v>45642</v>
      </c>
      <c r="K33" s="197">
        <f>IF(AND(YEAR(DecOffSet+17)=BegCalYear,MONTH(DecOffSet+17)=12),DecOffSet+17,"")</f>
        <v>45643</v>
      </c>
      <c r="L33" s="197">
        <f>IF(AND(YEAR(DecOffSet+18)=BegCalYear,MONTH(DecOffSet+18)=12),DecOffSet+18,"")</f>
        <v>45644</v>
      </c>
      <c r="M33" s="197">
        <f>IF(AND(YEAR(DecOffSet+19)=BegCalYear,MONTH(DecOffSet+19)=12),DecOffSet+19,"")</f>
        <v>45645</v>
      </c>
      <c r="N33" s="198">
        <f>IF(AND(YEAR(DecOffSet+20)=BegCalYear,MONTH(DecOffSet+20)=12),DecOffSet+20,"")</f>
        <v>45646</v>
      </c>
      <c r="O33" s="159"/>
      <c r="P33" s="307"/>
      <c r="Q33" s="88">
        <f>IF(AND(YEAR(MarOffSet+23)=CalendarYear,MONTH(MarOffSet+23)=3),MarOffSet+23,"")</f>
        <v>45733</v>
      </c>
      <c r="R33" s="197">
        <f>IF(AND(YEAR(MarOffSet+24)=CalendarYear,MONTH(MarOffSet+24)=3),MarOffSet+24,"")</f>
        <v>45734</v>
      </c>
      <c r="S33" s="197">
        <f>IF(AND(YEAR(MarOffSet+25)=CalendarYear,MONTH(MarOffSet+25)=3),MarOffSet+25,"")</f>
        <v>45735</v>
      </c>
      <c r="T33" s="197">
        <f>IF(AND(YEAR(MarOffSet+26)=CalendarYear,MONTH(MarOffSet+26)=3),MarOffSet+26,"")</f>
        <v>45736</v>
      </c>
      <c r="U33" s="198">
        <f>IF(AND(YEAR(MarOffSet+27)=CalendarYear,MONTH(MarOffSet+27)=3),MarOffSet+27,"")</f>
        <v>45737</v>
      </c>
      <c r="V33" s="159"/>
      <c r="W33" s="313"/>
      <c r="X33" s="88">
        <f>IF(AND(YEAR(JuneOffSet+16)=CalendarYear,MONTH(JuneOffSet+16)=6),JuneOffSet+16,"")</f>
        <v>45824</v>
      </c>
      <c r="Y33" s="197">
        <f>IF(AND(YEAR(JuneOffSet+17)=CalendarYear,MONTH(JuneOffSet+17)=6),JuneOffSet+17,"")</f>
        <v>45825</v>
      </c>
      <c r="Z33" s="197">
        <f>IF(AND(YEAR(JuneOffSet+18)=CalendarYear,MONTH(JuneOffSet+18)=6),JuneOffSet+18,"")</f>
        <v>45826</v>
      </c>
      <c r="AA33" s="197">
        <f>IF(AND(YEAR(JuneOffSet+19)=CalendarYear,MONTH(JuneOffSet+19)=6),JuneOffSet+19,"")</f>
        <v>45827</v>
      </c>
      <c r="AB33" s="198">
        <f>IF(AND(YEAR(JuneOffSet+20)=CalendarYear,MONTH(JuneOffSet+20)=6),JuneOffSet+20,"")</f>
        <v>45828</v>
      </c>
      <c r="AC33" s="43"/>
    </row>
    <row r="34" spans="1:32" ht="15" customHeight="1" x14ac:dyDescent="0.25">
      <c r="A34" s="12"/>
      <c r="B34" s="270"/>
      <c r="C34" s="156" t="str">
        <f>IF('Teacher A'!C33+'Teacher B'!C33=0,"",IF(AND('Teacher A'!C33&gt;6,'Teacher B'!C33=0),UPPER($M$2),IF(AND('Teacher B'!C33&gt;6,'Teacher A'!C33=0),UPPER($M$3),IF(AND('Teacher A'!C33&gt;0,'Teacher A'!C33&lt;6,'Teacher B'!C33=0),LOWER($M$2),IF(AND('Teacher B'!C33&lt;6,'Teacher B'!C33&gt;0,'Teacher A'!C33=0),LOWER($M$3),IF(AND('Teacher A'!C33+'Teacher B'!C33&lt;8.5,'Teacher A'!C33+'Teacher B'!C33&gt;0),"Both","Error"))))))</f>
        <v/>
      </c>
      <c r="D34" s="157" t="str">
        <f>IF('Teacher A'!D33+'Teacher B'!D33=0,"",IF(AND('Teacher A'!D33&gt;6,'Teacher B'!D33=0),UPPER($M$2),IF(AND('Teacher B'!D33&gt;6,'Teacher A'!D33=0),UPPER($M$3),IF(AND('Teacher A'!D33&gt;0,'Teacher A'!D33&lt;6,'Teacher B'!D33=0),LOWER($M$2),IF(AND('Teacher B'!D33&lt;6,'Teacher B'!D33&gt;0,'Teacher A'!D33=0),LOWER($M$3),IF(AND('Teacher A'!D33+'Teacher B'!D33&lt;8.5,'Teacher A'!D33+'Teacher B'!D33&gt;0),"Both","Error"))))))</f>
        <v/>
      </c>
      <c r="E34" s="157" t="str">
        <f>IF('Teacher A'!E33+'Teacher B'!E33=0,"",IF(AND('Teacher A'!E33&gt;6,'Teacher B'!E33=0),UPPER($M$2),IF(AND('Teacher B'!E33&gt;6,'Teacher A'!E33=0),UPPER($M$3),IF(AND('Teacher A'!E33&gt;0,'Teacher A'!E33&lt;6,'Teacher B'!E33=0),LOWER($M$2),IF(AND('Teacher B'!E33&lt;6,'Teacher B'!E33&gt;0,'Teacher A'!E33=0),LOWER($M$3),IF(AND('Teacher A'!E33+'Teacher B'!E33&lt;8.5,'Teacher A'!E33+'Teacher B'!E33&gt;0),"Both","Error"))))))</f>
        <v/>
      </c>
      <c r="F34" s="157" t="str">
        <f>IF('Teacher A'!F33+'Teacher B'!F33=0,"",IF(AND('Teacher A'!F33&gt;6,'Teacher B'!F33=0),UPPER($M$2),IF(AND('Teacher B'!F33&gt;6,'Teacher A'!F33=0),UPPER($M$3),IF(AND('Teacher A'!F33&gt;0,'Teacher A'!F33&lt;6,'Teacher B'!F33=0),LOWER($M$2),IF(AND('Teacher B'!F33&lt;6,'Teacher B'!F33&gt;0,'Teacher A'!F33=0),LOWER($M$3),IF(AND('Teacher A'!F33+'Teacher B'!F33&lt;8.5,'Teacher A'!F33+'Teacher B'!F33&gt;0),"Both","Error"))))))</f>
        <v/>
      </c>
      <c r="G34" s="158" t="str">
        <f>IF('Teacher A'!G33+'Teacher B'!G33=0,"",IF(AND('Teacher A'!G33&gt;6,'Teacher B'!G33=0),UPPER($M$2),IF(AND('Teacher B'!G33&gt;6,'Teacher A'!G33=0),UPPER($M$3),IF(AND('Teacher A'!G33&gt;0,'Teacher A'!G33&lt;6,'Teacher B'!G33=0),LOWER($M$2),IF(AND('Teacher B'!G33&lt;6,'Teacher B'!G33&gt;0,'Teacher A'!G33=0),LOWER($M$3),IF(AND('Teacher A'!G33+'Teacher B'!G33&lt;8.5,'Teacher A'!G33+'Teacher B'!G33&gt;0),"Both","Error"))))))</f>
        <v/>
      </c>
      <c r="H34" s="159"/>
      <c r="I34" s="313"/>
      <c r="J34" s="156" t="str">
        <f>IF('Teacher A'!J33+'Teacher B'!J33=0,"",IF(AND('Teacher A'!J33&gt;6,'Teacher B'!J33=0),UPPER($M$2),IF(AND('Teacher B'!J33&gt;6,'Teacher A'!J33=0),UPPER($M$3),IF(AND('Teacher A'!J33&gt;0,'Teacher A'!J33&lt;6,'Teacher B'!J33=0),LOWER($M$2),IF(AND('Teacher B'!J33&lt;6,'Teacher B'!J33&gt;0,'Teacher A'!J33=0),LOWER($M$3),IF(AND('Teacher A'!J33+'Teacher B'!J33&lt;8.5,'Teacher A'!J33+'Teacher B'!J33&gt;0),"Both","Error"))))))</f>
        <v/>
      </c>
      <c r="K34" s="157" t="str">
        <f>IF('Teacher A'!K33+'Teacher B'!K33=0,"",IF(AND('Teacher A'!K33&gt;6,'Teacher B'!K33=0),UPPER($M$2),IF(AND('Teacher B'!K33&gt;6,'Teacher A'!K33=0),UPPER($M$3),IF(AND('Teacher A'!K33&gt;0,'Teacher A'!K33&lt;6,'Teacher B'!K33=0),LOWER($M$2),IF(AND('Teacher B'!K33&lt;6,'Teacher B'!K33&gt;0,'Teacher A'!K33=0),LOWER($M$3),IF(AND('Teacher A'!K33+'Teacher B'!K33&lt;8.5,'Teacher A'!K33+'Teacher B'!K33&gt;0),"Both","Error"))))))</f>
        <v/>
      </c>
      <c r="L34" s="157" t="str">
        <f>IF('Teacher A'!L33+'Teacher B'!L33=0,"",IF(AND('Teacher A'!L33&gt;6,'Teacher B'!L33=0),UPPER($M$2),IF(AND('Teacher B'!L33&gt;6,'Teacher A'!L33=0),UPPER($M$3),IF(AND('Teacher A'!L33&gt;0,'Teacher A'!L33&lt;6,'Teacher B'!L33=0),LOWER($M$2),IF(AND('Teacher B'!L33&lt;6,'Teacher B'!L33&gt;0,'Teacher A'!L33=0),LOWER($M$3),IF(AND('Teacher A'!L33+'Teacher B'!L33&lt;8.5,'Teacher A'!L33+'Teacher B'!L33&gt;0),"Both","Error"))))))</f>
        <v/>
      </c>
      <c r="M34" s="157" t="str">
        <f>IF('Teacher A'!M33+'Teacher B'!M33=0,"",IF(AND('Teacher A'!M33&gt;6,'Teacher B'!M33=0),UPPER($M$2),IF(AND('Teacher B'!M33&gt;6,'Teacher A'!M33=0),UPPER($M$3),IF(AND('Teacher A'!M33&gt;0,'Teacher A'!M33&lt;6,'Teacher B'!M33=0),LOWER($M$2),IF(AND('Teacher B'!M33&lt;6,'Teacher B'!M33&gt;0,'Teacher A'!M33=0),LOWER($M$3),IF(AND('Teacher A'!M33+'Teacher B'!M33&lt;8.5,'Teacher A'!M33+'Teacher B'!M33&gt;0),"Both","Error"))))))</f>
        <v/>
      </c>
      <c r="N34" s="158" t="str">
        <f>IF('Teacher A'!N33+'Teacher B'!N33=0,"",IF(AND('Teacher A'!N33&gt;6,'Teacher B'!N33=0),UPPER($M$2),IF(AND('Teacher B'!N33&gt;6,'Teacher A'!N33=0),UPPER($M$3),IF(AND('Teacher A'!N33&gt;0,'Teacher A'!N33&lt;6,'Teacher B'!N33=0),LOWER($M$2),IF(AND('Teacher B'!N33&lt;6,'Teacher B'!N33&gt;0,'Teacher A'!N33=0),LOWER($M$3),IF(AND('Teacher A'!N33+'Teacher B'!N33&lt;8.5,'Teacher A'!N33+'Teacher B'!N33&gt;0),"Both","Error"))))))</f>
        <v/>
      </c>
      <c r="O34" s="159"/>
      <c r="P34" s="307"/>
      <c r="Q34" s="156" t="str">
        <f>IF('Teacher A'!Q33+'Teacher B'!Q33=0,"",IF(AND('Teacher A'!Q33&gt;6,'Teacher B'!Q33=0),UPPER($M$2),IF(AND('Teacher B'!Q33&gt;6,'Teacher A'!Q33=0),UPPER($M$3),IF(AND('Teacher A'!Q33&gt;0,'Teacher A'!Q33&lt;6,'Teacher B'!Q33=0),LOWER($M$2),IF(AND('Teacher B'!Q33&lt;6,'Teacher B'!Q33&gt;0,'Teacher A'!Q33=0),LOWER($M$3),IF(AND('Teacher A'!Q33+'Teacher B'!Q33&lt;8.5,'Teacher A'!Q33+'Teacher B'!Q33&gt;0),"Both","Error"))))))</f>
        <v/>
      </c>
      <c r="R34" s="157" t="str">
        <f>IF('Teacher A'!R33+'Teacher B'!R33=0,"",IF(AND('Teacher A'!R33&gt;6,'Teacher B'!R33=0),UPPER($M$2),IF(AND('Teacher B'!R33&gt;6,'Teacher A'!R33=0),UPPER($M$3),IF(AND('Teacher A'!R33&gt;0,'Teacher A'!R33&lt;6,'Teacher B'!R33=0),LOWER($M$2),IF(AND('Teacher B'!R33&lt;6,'Teacher B'!R33&gt;0,'Teacher A'!R33=0),LOWER($M$3),IF(AND('Teacher A'!R33+'Teacher B'!R33&lt;8.5,'Teacher A'!R33+'Teacher B'!R33&gt;0),"Both","Error"))))))</f>
        <v/>
      </c>
      <c r="S34" s="157" t="str">
        <f>IF('Teacher A'!S33+'Teacher B'!S33=0,"",IF(AND('Teacher A'!S33&gt;6,'Teacher B'!S33=0),UPPER($M$2),IF(AND('Teacher B'!S33&gt;6,'Teacher A'!S33=0),UPPER($M$3),IF(AND('Teacher A'!S33&gt;0,'Teacher A'!S33&lt;6,'Teacher B'!S33=0),LOWER($M$2),IF(AND('Teacher B'!S33&lt;6,'Teacher B'!S33&gt;0,'Teacher A'!S33=0),LOWER($M$3),IF(AND('Teacher A'!S33+'Teacher B'!S33&lt;8.5,'Teacher A'!S33+'Teacher B'!S33&gt;0),"Both","Error"))))))</f>
        <v/>
      </c>
      <c r="T34" s="157" t="str">
        <f>IF('Teacher A'!T33+'Teacher B'!T33=0,"",IF(AND('Teacher A'!T33&gt;6,'Teacher B'!T33=0),UPPER($M$2),IF(AND('Teacher B'!T33&gt;6,'Teacher A'!T33=0),UPPER($M$3),IF(AND('Teacher A'!T33&gt;0,'Teacher A'!T33&lt;6,'Teacher B'!T33=0),LOWER($M$2),IF(AND('Teacher B'!T33&lt;6,'Teacher B'!T33&gt;0,'Teacher A'!T33=0),LOWER($M$3),IF(AND('Teacher A'!T33+'Teacher B'!T33&lt;8.5,'Teacher A'!T33+'Teacher B'!T33&gt;0),"Both","Error"))))))</f>
        <v/>
      </c>
      <c r="U34" s="158" t="str">
        <f>IF('Teacher A'!U33+'Teacher B'!U33=0,"",IF(AND('Teacher A'!U33&gt;6,'Teacher B'!U33=0),UPPER($M$2),IF(AND('Teacher B'!U33&gt;6,'Teacher A'!U33=0),UPPER($M$3),IF(AND('Teacher A'!U33&gt;0,'Teacher A'!U33&lt;6,'Teacher B'!U33=0),LOWER($M$2),IF(AND('Teacher B'!U33&lt;6,'Teacher B'!U33&gt;0,'Teacher A'!U33=0),LOWER($M$3),IF(AND('Teacher A'!U33+'Teacher B'!U33&lt;8.5,'Teacher A'!U33+'Teacher B'!U33&gt;0),"Both","Error"))))))</f>
        <v/>
      </c>
      <c r="V34" s="159"/>
      <c r="W34" s="313"/>
      <c r="X34" s="156" t="str">
        <f>IF('Teacher A'!X33+'Teacher B'!X33=0,"",IF(AND('Teacher A'!X33&gt;6,'Teacher B'!X33=0),UPPER($M$2),IF(AND('Teacher B'!X33&gt;6,'Teacher A'!X33=0),UPPER($M$3),IF(AND('Teacher A'!X33&gt;0,'Teacher A'!X33&lt;6,'Teacher B'!X33=0),LOWER($M$2),IF(AND('Teacher B'!X33&lt;6,'Teacher B'!X33&gt;0,'Teacher A'!X33=0),LOWER($M$3),IF(AND('Teacher A'!X33+'Teacher B'!X33&lt;8.5,'Teacher A'!X33+'Teacher B'!X33&gt;0),"Both","Error"))))))</f>
        <v/>
      </c>
      <c r="Y34" s="157" t="str">
        <f>IF('Teacher A'!Y33+'Teacher B'!Y33=0,"",IF(AND('Teacher A'!Y33&gt;6,'Teacher B'!Y33=0),UPPER($M$2),IF(AND('Teacher B'!Y33&gt;6,'Teacher A'!Y33=0),UPPER($M$3),IF(AND('Teacher A'!Y33&gt;0,'Teacher A'!Y33&lt;6,'Teacher B'!Y33=0),LOWER($M$2),IF(AND('Teacher B'!Y33&lt;6,'Teacher B'!Y33&gt;0,'Teacher A'!Y33=0),LOWER($M$3),IF(AND('Teacher A'!Y33+'Teacher B'!Y33&lt;8.5,'Teacher A'!Y33+'Teacher B'!Y33&gt;0),"Both","Error"))))))</f>
        <v/>
      </c>
      <c r="Z34" s="157" t="str">
        <f>IF('Teacher A'!Z33+'Teacher B'!Z33=0,"",IF(AND('Teacher A'!Z33&gt;6,'Teacher B'!Z33=0),UPPER($M$2),IF(AND('Teacher B'!Z33&gt;6,'Teacher A'!Z33=0),UPPER($M$3),IF(AND('Teacher A'!Z33&gt;0,'Teacher A'!Z33&lt;6,'Teacher B'!Z33=0),LOWER($M$2),IF(AND('Teacher B'!Z33&lt;6,'Teacher B'!Z33&gt;0,'Teacher A'!Z33=0),LOWER($M$3),IF(AND('Teacher A'!Z33+'Teacher B'!Z33&lt;8.5,'Teacher A'!Z33+'Teacher B'!Z33&gt;0),"Both","Error"))))))</f>
        <v/>
      </c>
      <c r="AA34" s="157" t="str">
        <f>IF('Teacher A'!AA33+'Teacher B'!AA33=0,"",IF(AND('Teacher A'!AA33&gt;6,'Teacher B'!AA33=0),UPPER($M$2),IF(AND('Teacher B'!AA33&gt;6,'Teacher A'!AA33=0),UPPER($M$3),IF(AND('Teacher A'!AA33&gt;0,'Teacher A'!AA33&lt;6,'Teacher B'!AA33=0),LOWER($M$2),IF(AND('Teacher B'!AA33&lt;6,'Teacher B'!AA33&gt;0,'Teacher A'!AA33=0),LOWER($M$3),IF(AND('Teacher A'!AA33+'Teacher B'!AA33&lt;8.5,'Teacher A'!AA33+'Teacher B'!AA33&gt;0),"Both","Error"))))))</f>
        <v/>
      </c>
      <c r="AB34" s="158" t="str">
        <f>IF('Teacher A'!AB33+'Teacher B'!AB33=0,"",IF(AND('Teacher A'!AB33&gt;6,'Teacher B'!AB33=0),UPPER($M$2),IF(AND('Teacher B'!AB33&gt;6,'Teacher A'!AB33=0),UPPER($M$3),IF(AND('Teacher A'!AB33&gt;0,'Teacher A'!AB33&lt;6,'Teacher B'!AB33=0),LOWER($M$2),IF(AND('Teacher B'!AB33&lt;6,'Teacher B'!AB33&gt;0,'Teacher A'!AB33=0),LOWER($M$3),IF(AND('Teacher A'!AB33+'Teacher B'!AB33&lt;8.5,'Teacher A'!AB33+'Teacher B'!AB33&gt;0),"Both","Error"))))))</f>
        <v/>
      </c>
      <c r="AC34" s="43"/>
    </row>
    <row r="35" spans="1:32" ht="15.75" thickBot="1" x14ac:dyDescent="0.3">
      <c r="A35" s="12"/>
      <c r="B35" s="270"/>
      <c r="C35" s="88">
        <f>IF(AND(YEAR(SeptOffSet+23)=BegCalYear,MONTH(SeptOffSet+23)=9),SeptOffSet+23,"")</f>
        <v>45558</v>
      </c>
      <c r="D35" s="197">
        <f>IF(AND(YEAR(SeptOffSet+24)=BegCalYear,MONTH(SeptOffSet+24)=9),SeptOffSet+24,"")</f>
        <v>45559</v>
      </c>
      <c r="E35" s="197">
        <f>IF(AND(YEAR(SeptOffSet+25)=BegCalYear,MONTH(SeptOffSet+25)=9),SeptOffSet+25,"")</f>
        <v>45560</v>
      </c>
      <c r="F35" s="197">
        <f>IF(AND(YEAR(SeptOffSet+26)=BegCalYear,MONTH(SeptOffSet+26)=9),SeptOffSet+26,"")</f>
        <v>45561</v>
      </c>
      <c r="G35" s="198">
        <f>IF(AND(YEAR(SeptOffSet+27)=BegCalYear,MONTH(SeptOffSet+27)=9),SeptOffSet+27,"")</f>
        <v>45562</v>
      </c>
      <c r="H35" s="154"/>
      <c r="I35" s="313"/>
      <c r="J35" s="88">
        <f>IF(AND(YEAR(DecOffSet+23)=BegCalYear,MONTH(DecOffSet+23)=12),DecOffSet+23,"")</f>
        <v>45649</v>
      </c>
      <c r="K35" s="197">
        <f>IF(AND(YEAR(DecOffSet+24)=BegCalYear,MONTH(DecOffSet+24)=12),DecOffSet+24,"")</f>
        <v>45650</v>
      </c>
      <c r="L35" s="197">
        <f>IF(AND(YEAR(DecOffSet+25)=BegCalYear,MONTH(DecOffSet+25)=12),DecOffSet+25,"")</f>
        <v>45651</v>
      </c>
      <c r="M35" s="197">
        <f>IF(AND(YEAR(DecOffSet+26)=BegCalYear,MONTH(DecOffSet+26)=12),DecOffSet+26,"")</f>
        <v>45652</v>
      </c>
      <c r="N35" s="198">
        <f>IF(AND(YEAR(DecOffSet+27)=BegCalYear,MONTH(DecOffSet+27)=12),DecOffSet+27,"")</f>
        <v>45653</v>
      </c>
      <c r="O35" s="154"/>
      <c r="P35" s="307"/>
      <c r="Q35" s="89">
        <f>IF(AND(YEAR(MarOffSet+30)=CalendarYear,MONTH(MarOffSet+30)=3),MarOffSet+30,"")</f>
        <v>45740</v>
      </c>
      <c r="R35" s="96">
        <f>IF(AND(YEAR(MarOffSet+31)=CalendarYear,MONTH(MarOffSet+31)=3),MarOffSet+31,"")</f>
        <v>45741</v>
      </c>
      <c r="S35" s="96">
        <f>IF(AND(YEAR(MarOffSet+32)=CalendarYear,MONTH(MarOffSet+32)=3),MarOffSet+32,"")</f>
        <v>45742</v>
      </c>
      <c r="T35" s="96">
        <f>IF(AND(YEAR(MarOffSet+33)=CalendarYear,MONTH(MarOffSet+33)=3),MarOffSet+33,"")</f>
        <v>45743</v>
      </c>
      <c r="U35" s="90">
        <f>IF(AND(YEAR(MarOffSet+34)=CalendarYear,MONTH(MarOffSet+34)=3),MarOffSet+34,"")</f>
        <v>45744</v>
      </c>
      <c r="V35" s="154"/>
      <c r="W35" s="313"/>
      <c r="X35" s="88">
        <f>IF(AND(YEAR(JuneOffSet+23)=CalendarYear,MONTH(JuneOffSet+23)=6),JuneOffSet+23,"")</f>
        <v>45831</v>
      </c>
      <c r="Y35" s="197">
        <f>IF(AND(YEAR(JuneOffSet+24)=CalendarYear,MONTH(JuneOffSet+24)=6),JuneOffSet+24,"")</f>
        <v>45832</v>
      </c>
      <c r="Z35" s="197">
        <f>IF(AND(YEAR(JuneOffSet+25)=CalendarYear,MONTH(JuneOffSet+25)=6),JuneOffSet+25,"")</f>
        <v>45833</v>
      </c>
      <c r="AA35" s="197">
        <f>IF(AND(YEAR(JuneOffSet+26)=CalendarYear,MONTH(JuneOffSet+26)=6),JuneOffSet+26,"")</f>
        <v>45834</v>
      </c>
      <c r="AB35" s="198">
        <f>IF(AND(YEAR(JuneOffSet+27)=CalendarYear,MONTH(JuneOffSet+27)=6),JuneOffSet+27,"")</f>
        <v>45835</v>
      </c>
      <c r="AC35" s="25"/>
    </row>
    <row r="36" spans="1:32" ht="16.5" customHeight="1" x14ac:dyDescent="0.25">
      <c r="A36" s="12"/>
      <c r="B36" s="270"/>
      <c r="C36" s="156" t="str">
        <f>IF('Teacher A'!C35+'Teacher B'!C35=0,"",IF(AND('Teacher A'!C35&gt;6,'Teacher B'!C35=0),UPPER($M$2),IF(AND('Teacher B'!C35&gt;6,'Teacher A'!C35=0),UPPER($M$3),IF(AND('Teacher A'!C35&gt;0,'Teacher A'!C35&lt;6,'Teacher B'!C35=0),LOWER($M$2),IF(AND('Teacher B'!C35&lt;6,'Teacher B'!C35&gt;0,'Teacher A'!C35=0),LOWER($M$3),IF(AND('Teacher A'!C35+'Teacher B'!C35&lt;8.5,'Teacher A'!C35+'Teacher B'!C35&gt;0),"Both","Error"))))))</f>
        <v/>
      </c>
      <c r="D36" s="157" t="str">
        <f>IF('Teacher A'!D35+'Teacher B'!D35=0,"",IF(AND('Teacher A'!D35&gt;6,'Teacher B'!D35=0),UPPER($M$2),IF(AND('Teacher B'!D35&gt;6,'Teacher A'!D35=0),UPPER($M$3),IF(AND('Teacher A'!D35&gt;0,'Teacher A'!D35&lt;6,'Teacher B'!D35=0),LOWER($M$2),IF(AND('Teacher B'!D35&lt;6,'Teacher B'!D35&gt;0,'Teacher A'!D35=0),LOWER($M$3),IF(AND('Teacher A'!D35+'Teacher B'!D35&lt;8.5,'Teacher A'!D35+'Teacher B'!D35&gt;0),"Both","Error"))))))</f>
        <v/>
      </c>
      <c r="E36" s="157" t="str">
        <f>IF('Teacher A'!E35+'Teacher B'!E35=0,"",IF(AND('Teacher A'!E35&gt;6,'Teacher B'!E35=0),UPPER($M$2),IF(AND('Teacher B'!E35&gt;6,'Teacher A'!E35=0),UPPER($M$3),IF(AND('Teacher A'!E35&gt;0,'Teacher A'!E35&lt;6,'Teacher B'!E35=0),LOWER($M$2),IF(AND('Teacher B'!E35&lt;6,'Teacher B'!E35&gt;0,'Teacher A'!E35=0),LOWER($M$3),IF(AND('Teacher A'!E35+'Teacher B'!E35&lt;8.5,'Teacher A'!E35+'Teacher B'!E35&gt;0),"Both","Error"))))))</f>
        <v/>
      </c>
      <c r="F36" s="157" t="str">
        <f>IF('Teacher A'!F35+'Teacher B'!F35=0,"",IF(AND('Teacher A'!F35&gt;6,'Teacher B'!F35=0),UPPER($M$2),IF(AND('Teacher B'!F35&gt;6,'Teacher A'!F35=0),UPPER($M$3),IF(AND('Teacher A'!F35&gt;0,'Teacher A'!F35&lt;6,'Teacher B'!F35=0),LOWER($M$2),IF(AND('Teacher B'!F35&lt;6,'Teacher B'!F35&gt;0,'Teacher A'!F35=0),LOWER($M$3),IF(AND('Teacher A'!F35+'Teacher B'!F35&lt;8.5,'Teacher A'!F35+'Teacher B'!F35&gt;0),"Both","Error"))))))</f>
        <v/>
      </c>
      <c r="G36" s="158" t="str">
        <f>IF('Teacher A'!G35+'Teacher B'!G35=0,"",IF(AND('Teacher A'!G35&gt;6,'Teacher B'!G35=0),UPPER($M$2),IF(AND('Teacher B'!G35&gt;6,'Teacher A'!G35=0),UPPER($M$3),IF(AND('Teacher A'!G35&gt;0,'Teacher A'!G35&lt;6,'Teacher B'!G35=0),LOWER($M$2),IF(AND('Teacher B'!G35&lt;6,'Teacher B'!G35&gt;0,'Teacher A'!G35=0),LOWER($M$3),IF(AND('Teacher A'!G35+'Teacher B'!G35&lt;8.5,'Teacher A'!G35+'Teacher B'!G35&gt;0),"Both","Error"))))))</f>
        <v/>
      </c>
      <c r="H36" s="159"/>
      <c r="I36" s="313"/>
      <c r="J36" s="156" t="str">
        <f>IF('Teacher A'!J35+'Teacher B'!J35=0,"",IF(AND('Teacher A'!J35&gt;6,'Teacher B'!J35=0),UPPER($M$2),IF(AND('Teacher B'!J35&gt;6,'Teacher A'!J35=0),UPPER($M$3),IF(AND('Teacher A'!J35&gt;0,'Teacher A'!J35&lt;6,'Teacher B'!J35=0),LOWER($M$2),IF(AND('Teacher B'!J35&lt;6,'Teacher B'!J35&gt;0,'Teacher A'!J35=0),LOWER($M$3),IF(AND('Teacher A'!J35+'Teacher B'!J35&lt;8.5,'Teacher A'!J35+'Teacher B'!J35&gt;0),"Both","Error"))))))</f>
        <v/>
      </c>
      <c r="K36" s="157" t="str">
        <f>IF('Teacher A'!K35+'Teacher B'!K35=0,"",IF(AND('Teacher A'!K35&gt;6,'Teacher B'!K35=0),UPPER($M$2),IF(AND('Teacher B'!K35&gt;6,'Teacher A'!K35=0),UPPER($M$3),IF(AND('Teacher A'!K35&gt;0,'Teacher A'!K35&lt;6,'Teacher B'!K35=0),LOWER($M$2),IF(AND('Teacher B'!K35&lt;6,'Teacher B'!K35&gt;0,'Teacher A'!K35=0),LOWER($M$3),IF(AND('Teacher A'!K35+'Teacher B'!K35&lt;8.5,'Teacher A'!K35+'Teacher B'!K35&gt;0),"Both","Error"))))))</f>
        <v/>
      </c>
      <c r="L36" s="157" t="str">
        <f>IF('Teacher A'!L35+'Teacher B'!L35=0,"",IF(AND('Teacher A'!L35&gt;6,'Teacher B'!L35=0),UPPER($M$2),IF(AND('Teacher B'!L35&gt;6,'Teacher A'!L35=0),UPPER($M$3),IF(AND('Teacher A'!L35&gt;0,'Teacher A'!L35&lt;6,'Teacher B'!L35=0),LOWER($M$2),IF(AND('Teacher B'!L35&lt;6,'Teacher B'!L35&gt;0,'Teacher A'!L35=0),LOWER($M$3),IF(AND('Teacher A'!L35+'Teacher B'!L35&lt;8.5,'Teacher A'!L35+'Teacher B'!L35&gt;0),"Both","Error"))))))</f>
        <v/>
      </c>
      <c r="M36" s="157" t="str">
        <f>IF('Teacher A'!M35+'Teacher B'!M35=0,"",IF(AND('Teacher A'!M35&gt;6,'Teacher B'!M35=0),UPPER($M$2),IF(AND('Teacher B'!M35&gt;6,'Teacher A'!M35=0),UPPER($M$3),IF(AND('Teacher A'!M35&gt;0,'Teacher A'!M35&lt;6,'Teacher B'!M35=0),LOWER($M$2),IF(AND('Teacher B'!M35&lt;6,'Teacher B'!M35&gt;0,'Teacher A'!M35=0),LOWER($M$3),IF(AND('Teacher A'!M35+'Teacher B'!M35&lt;8.5,'Teacher A'!M35+'Teacher B'!M35&gt;0),"Both","Error"))))))</f>
        <v/>
      </c>
      <c r="N36" s="158" t="str">
        <f>IF('Teacher A'!N35+'Teacher B'!N35=0,"",IF(AND('Teacher A'!N35&gt;6,'Teacher B'!N35=0),UPPER($M$2),IF(AND('Teacher B'!N35&gt;6,'Teacher A'!N35=0),UPPER($M$3),IF(AND('Teacher A'!N35&gt;0,'Teacher A'!N35&lt;6,'Teacher B'!N35=0),LOWER($M$2),IF(AND('Teacher B'!N35&lt;6,'Teacher B'!N35&gt;0,'Teacher A'!N35=0),LOWER($M$3),IF(AND('Teacher A'!N35+'Teacher B'!N35&lt;8.5,'Teacher A'!N35+'Teacher B'!N35&gt;0),"Both","Error"))))))</f>
        <v/>
      </c>
      <c r="O36" s="159"/>
      <c r="P36" s="307"/>
      <c r="Q36" s="156" t="str">
        <f>IF('Teacher A'!Q35+'Teacher B'!Q35=0,"",IF(AND('Teacher A'!Q35&gt;6,'Teacher B'!Q35=0),UPPER($M$2),IF(AND('Teacher B'!Q35&gt;6,'Teacher A'!Q35=0),UPPER($M$3),IF(AND('Teacher A'!Q35&gt;0,'Teacher A'!Q35&lt;6,'Teacher B'!Q35=0),LOWER($M$2),IF(AND('Teacher B'!Q35&lt;6,'Teacher B'!Q35&gt;0,'Teacher A'!Q35=0),LOWER($M$3),IF(AND('Teacher A'!Q35+'Teacher B'!Q35&lt;8.5,'Teacher A'!Q35+'Teacher B'!Q35&gt;0),"Both","Error"))))))</f>
        <v/>
      </c>
      <c r="R36" s="157" t="str">
        <f>IF('Teacher A'!R35+'Teacher B'!R35=0,"",IF(AND('Teacher A'!R35&gt;6,'Teacher B'!R35=0),UPPER($M$2),IF(AND('Teacher B'!R35&gt;6,'Teacher A'!R35=0),UPPER($M$3),IF(AND('Teacher A'!R35&gt;0,'Teacher A'!R35&lt;6,'Teacher B'!R35=0),LOWER($M$2),IF(AND('Teacher B'!R35&lt;6,'Teacher B'!R35&gt;0,'Teacher A'!R35=0),LOWER($M$3),IF(AND('Teacher A'!R35+'Teacher B'!R35&lt;8.5,'Teacher A'!R35+'Teacher B'!R35&gt;0),"Both","Error"))))))</f>
        <v/>
      </c>
      <c r="S36" s="157" t="str">
        <f>IF('Teacher A'!S35+'Teacher B'!S35=0,"",IF(AND('Teacher A'!S35&gt;6,'Teacher B'!S35=0),UPPER($M$2),IF(AND('Teacher B'!S35&gt;6,'Teacher A'!S35=0),UPPER($M$3),IF(AND('Teacher A'!S35&gt;0,'Teacher A'!S35&lt;6,'Teacher B'!S35=0),LOWER($M$2),IF(AND('Teacher B'!S35&lt;6,'Teacher B'!S35&gt;0,'Teacher A'!S35=0),LOWER($M$3),IF(AND('Teacher A'!S35+'Teacher B'!S35&lt;8.5,'Teacher A'!S35+'Teacher B'!S35&gt;0),"Both","Error"))))))</f>
        <v/>
      </c>
      <c r="T36" s="157" t="str">
        <f>IF('Teacher A'!T35+'Teacher B'!T35=0,"",IF(AND('Teacher A'!T35&gt;6,'Teacher B'!T35=0),UPPER($M$2),IF(AND('Teacher B'!T35&gt;6,'Teacher A'!T35=0),UPPER($M$3),IF(AND('Teacher A'!T35&gt;0,'Teacher A'!T35&lt;6,'Teacher B'!T35=0),LOWER($M$2),IF(AND('Teacher B'!T35&lt;6,'Teacher B'!T35&gt;0,'Teacher A'!T35=0),LOWER($M$3),IF(AND('Teacher A'!T35+'Teacher B'!T35&lt;8.5,'Teacher A'!T35+'Teacher B'!T35&gt;0),"Both","Error"))))))</f>
        <v/>
      </c>
      <c r="U36" s="158" t="str">
        <f>IF('Teacher A'!U35+'Teacher B'!U35=0,"",IF(AND('Teacher A'!U35&gt;6,'Teacher B'!U35=0),UPPER($M$2),IF(AND('Teacher B'!U35&gt;6,'Teacher A'!U35=0),UPPER($M$3),IF(AND('Teacher A'!U35&gt;0,'Teacher A'!U35&lt;6,'Teacher B'!U35=0),LOWER($M$2),IF(AND('Teacher B'!U35&lt;6,'Teacher B'!U35&gt;0,'Teacher A'!U35=0),LOWER($M$3),IF(AND('Teacher A'!U35+'Teacher B'!U35&lt;8.5,'Teacher A'!U35+'Teacher B'!U35&gt;0),"Both","Error"))))))</f>
        <v/>
      </c>
      <c r="V36" s="159"/>
      <c r="W36" s="313"/>
      <c r="X36" s="156" t="str">
        <f>IF('Teacher A'!X35+'Teacher B'!X35=0,"",IF(AND('Teacher A'!X35&gt;6,'Teacher B'!X35=0),UPPER($M$2),IF(AND('Teacher B'!X35&gt;6,'Teacher A'!X35=0),UPPER($M$3),IF(AND('Teacher A'!X35&gt;0,'Teacher A'!X35&lt;6,'Teacher B'!X35=0),LOWER($M$2),IF(AND('Teacher B'!X35&lt;6,'Teacher B'!X35&gt;0,'Teacher A'!X35=0),LOWER($M$3),IF(AND('Teacher A'!X35+'Teacher B'!X35&lt;8.5,'Teacher A'!X35+'Teacher B'!X35&gt;0),"Both","Error"))))))</f>
        <v/>
      </c>
      <c r="Y36" s="157" t="str">
        <f>IF('Teacher A'!Y35+'Teacher B'!Y35=0,"",IF(AND('Teacher A'!Y35&gt;6,'Teacher B'!Y35=0),UPPER($M$2),IF(AND('Teacher B'!Y35&gt;6,'Teacher A'!Y35=0),UPPER($M$3),IF(AND('Teacher A'!Y35&gt;0,'Teacher A'!Y35&lt;6,'Teacher B'!Y35=0),LOWER($M$2),IF(AND('Teacher B'!Y35&lt;6,'Teacher B'!Y35&gt;0,'Teacher A'!Y35=0),LOWER($M$3),IF(AND('Teacher A'!Y35+'Teacher B'!Y35&lt;8.5,'Teacher A'!Y35+'Teacher B'!Y35&gt;0),"Both","Error"))))))</f>
        <v/>
      </c>
      <c r="Z36" s="157" t="str">
        <f>IF('Teacher A'!Z35+'Teacher B'!Z35=0,"",IF(AND('Teacher A'!Z35&gt;6,'Teacher B'!Z35=0),UPPER($M$2),IF(AND('Teacher B'!Z35&gt;6,'Teacher A'!Z35=0),UPPER($M$3),IF(AND('Teacher A'!Z35&gt;0,'Teacher A'!Z35&lt;6,'Teacher B'!Z35=0),LOWER($M$2),IF(AND('Teacher B'!Z35&lt;6,'Teacher B'!Z35&gt;0,'Teacher A'!Z35=0),LOWER($M$3),IF(AND('Teacher A'!Z35+'Teacher B'!Z35&lt;8.5,'Teacher A'!Z35+'Teacher B'!Z35&gt;0),"Both","Error"))))))</f>
        <v/>
      </c>
      <c r="AA36" s="157" t="str">
        <f>IF('Teacher A'!AA35+'Teacher B'!AA35=0,"",IF(AND('Teacher A'!AA35&gt;6,'Teacher B'!AA35=0),UPPER($M$2),IF(AND('Teacher B'!AA35&gt;6,'Teacher A'!AA35=0),UPPER($M$3),IF(AND('Teacher A'!AA35&gt;0,'Teacher A'!AA35&lt;6,'Teacher B'!AA35=0),LOWER($M$2),IF(AND('Teacher B'!AA35&lt;6,'Teacher B'!AA35&gt;0,'Teacher A'!AA35=0),LOWER($M$3),IF(AND('Teacher A'!AA35+'Teacher B'!AA35&lt;8.5,'Teacher A'!AA35+'Teacher B'!AA35&gt;0),"Both","Error"))))))</f>
        <v/>
      </c>
      <c r="AB36" s="158" t="str">
        <f>IF('Teacher A'!AB35+'Teacher B'!AB35=0,"",IF(AND('Teacher A'!AB35&gt;6,'Teacher B'!AB35=0),UPPER($M$2),IF(AND('Teacher B'!AB35&gt;6,'Teacher A'!AB35=0),UPPER($M$3),IF(AND('Teacher A'!AB35&gt;0,'Teacher A'!AB35&lt;6,'Teacher B'!AB35=0),LOWER($M$2),IF(AND('Teacher B'!AB35&lt;6,'Teacher B'!AB35&gt;0,'Teacher A'!AB35=0),LOWER($M$3),IF(AND('Teacher A'!AB35+'Teacher B'!AB35&lt;8.5,'Teacher A'!AB35+'Teacher B'!AB35&gt;0),"Both","Error"))))))</f>
        <v/>
      </c>
      <c r="AC36" s="27"/>
    </row>
    <row r="37" spans="1:32" ht="15.75" thickBot="1" x14ac:dyDescent="0.3">
      <c r="A37" s="12"/>
      <c r="B37" s="271"/>
      <c r="C37" s="89">
        <f>IF(AND(YEAR(SeptOffSet+30)=BegCalYear,MONTH(SeptOffSet+30)=9),SeptOffSet+30,"")</f>
        <v>45565</v>
      </c>
      <c r="D37" s="96" t="str">
        <f>IF(AND(YEAR(SeptOffSet+31)=BegCalYear,MONTH(SeptOffSet+31)=9),SeptOffSet+31,"")</f>
        <v/>
      </c>
      <c r="E37" s="96" t="str">
        <f>IF(AND(YEAR(SeptOffSet+32)=BegCalYear,MONTH(SeptOffSet+32)=9),SeptOffSet+32,"")</f>
        <v/>
      </c>
      <c r="F37" s="96" t="str">
        <f>IF(AND(YEAR(SeptOffSet+33)=BegCalYear,MONTH(SeptOffSet+33)=9),SeptOffSet+33,"")</f>
        <v/>
      </c>
      <c r="G37" s="90" t="str">
        <f>IF(AND(YEAR(SeptOffSet+34)=BegCalYear,MONTH(SeptOffSet+34)=9),SeptOffSet+34,"")</f>
        <v/>
      </c>
      <c r="H37" s="160"/>
      <c r="I37" s="314"/>
      <c r="J37" s="89">
        <f>IF(AND(YEAR(DecOffSet+30)=BegCalYear,MONTH(DecOffSet+30)=12),DecOffSet+30,"")</f>
        <v>45656</v>
      </c>
      <c r="K37" s="96">
        <f>IF(AND(YEAR(DecOffSet+31)=BegCalYear,MONTH(DecOffSet+31)=12),DecOffSet+31,"")</f>
        <v>45657</v>
      </c>
      <c r="L37" s="96" t="str">
        <f>IF(AND(YEAR(DecOffSet+32)=BegCalYear,MONTH(DecOffSet+32)=12),DecOffSet+32,"")</f>
        <v/>
      </c>
      <c r="M37" s="96" t="str">
        <f>IF(AND(YEAR(DecOffSet+33)=BegCalYear,MONTH(DecOffSet+33)=12),DecOffSet+33,"")</f>
        <v/>
      </c>
      <c r="N37" s="90" t="str">
        <f>IF(AND(YEAR(DecOffSet+34)=BegCalYear,MONTH(DecOffSet+34)=12),DecOffSet+34,"")</f>
        <v/>
      </c>
      <c r="O37" s="160"/>
      <c r="P37" s="308"/>
      <c r="Q37" s="89">
        <f>IF(AND(YEAR(MarOffSet+37)=CalendarYear,MONTH(MarOffSet+37)=3),MarOffSet+37,"")</f>
        <v>45747</v>
      </c>
      <c r="R37" s="96"/>
      <c r="S37" s="96"/>
      <c r="T37" s="96"/>
      <c r="U37" s="90"/>
      <c r="V37" s="160"/>
      <c r="W37" s="314"/>
      <c r="X37" s="89">
        <f>IF(AND(YEAR(JuneOffSet+30)=CalendarYear,MONTH(JuneOffSet+30)=6),JuneOffSet+30,"")</f>
        <v>45838</v>
      </c>
      <c r="Y37" s="96" t="str">
        <f>IF(AND(YEAR(JuneOffSet+31)=CalendarYear,MONTH(JuneOffSet+31)=6),JuneOffSet+31,"")</f>
        <v/>
      </c>
      <c r="Z37" s="96" t="str">
        <f>IF(AND(YEAR(JuneOffSet+32)=CalendarYear,MONTH(JuneOffSet+32)=6),JuneOffSet+32,"")</f>
        <v/>
      </c>
      <c r="AA37" s="96" t="str">
        <f>IF(AND(YEAR(JuneOffSet+33)=CalendarYear,MONTH(JuneOffSet+33)=6),JuneOffSet+33,"")</f>
        <v/>
      </c>
      <c r="AB37" s="90" t="str">
        <f>IF(AND(YEAR(JuneOffSet+34)=CalendarYear,MONTH(JuneOffSet+34)=6),JuneOffSet+34,"")</f>
        <v/>
      </c>
      <c r="AC37" s="44"/>
    </row>
    <row r="38" spans="1:32" x14ac:dyDescent="0.25">
      <c r="A38" s="12"/>
      <c r="B38" s="17"/>
      <c r="C38" s="26"/>
      <c r="D38" s="26"/>
      <c r="E38" s="26"/>
      <c r="F38" s="26"/>
      <c r="G38" s="26"/>
      <c r="H38" s="26"/>
      <c r="I38" s="26"/>
      <c r="J38" s="26"/>
      <c r="K38" s="26"/>
      <c r="L38" s="26"/>
      <c r="M38" s="26"/>
      <c r="N38" s="26"/>
      <c r="O38" s="26"/>
      <c r="P38" s="26"/>
      <c r="Q38" s="26"/>
      <c r="R38" s="26"/>
      <c r="S38" s="26"/>
      <c r="T38" s="26"/>
      <c r="U38" s="26"/>
      <c r="V38" s="26"/>
      <c r="W38" s="25"/>
      <c r="X38" s="26"/>
      <c r="Y38" s="26"/>
      <c r="Z38" s="26"/>
      <c r="AA38" s="26"/>
      <c r="AB38" s="26"/>
      <c r="AC38" s="43"/>
    </row>
    <row r="39" spans="1:32" ht="15" customHeight="1" x14ac:dyDescent="0.25">
      <c r="A39" s="12"/>
      <c r="B39" s="17"/>
      <c r="C39" s="26"/>
      <c r="D39" s="26"/>
      <c r="E39" s="26"/>
      <c r="F39" s="26"/>
      <c r="G39" s="26"/>
      <c r="H39" s="26"/>
      <c r="I39" s="26"/>
      <c r="J39" s="26"/>
      <c r="K39" s="26"/>
      <c r="L39" s="26"/>
      <c r="M39" s="12"/>
      <c r="N39" s="12"/>
      <c r="O39" s="12"/>
      <c r="P39" s="12"/>
      <c r="Q39" s="12"/>
      <c r="R39" s="12"/>
      <c r="S39" s="12"/>
      <c r="T39" s="12"/>
      <c r="U39" s="12"/>
      <c r="V39" s="182"/>
      <c r="W39" s="315"/>
      <c r="X39" s="189"/>
      <c r="Y39" s="189"/>
      <c r="Z39" s="189"/>
      <c r="AA39" s="189"/>
      <c r="AB39" s="189"/>
      <c r="AC39" s="190"/>
    </row>
    <row r="40" spans="1:32" ht="15" customHeight="1" x14ac:dyDescent="0.25">
      <c r="A40" s="19"/>
      <c r="B40" s="2"/>
      <c r="C40" s="264" t="s">
        <v>30</v>
      </c>
      <c r="D40" s="265"/>
      <c r="E40" s="20"/>
      <c r="F40" s="20"/>
      <c r="G40" s="21"/>
      <c r="H40" s="22"/>
      <c r="I40" s="9"/>
      <c r="J40" s="215" t="s">
        <v>174</v>
      </c>
      <c r="K40" s="302"/>
      <c r="L40" s="23"/>
      <c r="M40" s="12"/>
      <c r="N40" s="12"/>
      <c r="O40" s="12"/>
      <c r="P40" s="12"/>
      <c r="Q40" s="12"/>
      <c r="R40" s="12"/>
      <c r="S40" s="12"/>
      <c r="T40" s="12"/>
      <c r="U40" s="12"/>
      <c r="V40" s="91"/>
      <c r="W40" s="315"/>
      <c r="X40" s="191"/>
      <c r="Y40" s="191"/>
      <c r="Z40" s="191"/>
      <c r="AA40" s="191"/>
      <c r="AB40" s="191"/>
      <c r="AC40" s="91"/>
    </row>
    <row r="41" spans="1:32" ht="15.75" customHeight="1" x14ac:dyDescent="0.25">
      <c r="A41" s="52"/>
      <c r="B41" s="3"/>
      <c r="C41" s="264" t="s">
        <v>32</v>
      </c>
      <c r="D41" s="265"/>
      <c r="E41" s="265"/>
      <c r="F41" s="146"/>
      <c r="G41" s="146"/>
      <c r="H41" s="15"/>
      <c r="I41" s="10"/>
      <c r="J41" s="302">
        <f>D2</f>
        <v>0</v>
      </c>
      <c r="K41" s="302"/>
      <c r="L41" s="32"/>
      <c r="M41" s="316"/>
      <c r="N41" s="316"/>
      <c r="O41" s="316"/>
      <c r="P41" s="316"/>
      <c r="Q41" s="316"/>
      <c r="R41" s="316"/>
      <c r="S41" s="17"/>
      <c r="T41" s="12"/>
      <c r="U41" s="12"/>
      <c r="V41" s="38"/>
      <c r="W41" s="315"/>
      <c r="X41" s="189"/>
      <c r="Y41" s="189"/>
      <c r="Z41" s="189"/>
      <c r="AA41" s="189"/>
      <c r="AB41" s="189"/>
      <c r="AC41" s="91"/>
    </row>
    <row r="42" spans="1:32" ht="16.5" customHeight="1" x14ac:dyDescent="0.25">
      <c r="A42" s="12"/>
      <c r="B42" s="5"/>
      <c r="C42" s="264" t="s">
        <v>34</v>
      </c>
      <c r="D42" s="265"/>
      <c r="E42" s="265"/>
      <c r="F42" s="265"/>
      <c r="G42" s="265"/>
      <c r="H42" s="15"/>
      <c r="I42" s="11"/>
      <c r="J42" s="302">
        <f>D3</f>
        <v>0</v>
      </c>
      <c r="K42" s="302"/>
      <c r="L42" s="33"/>
      <c r="M42" s="317"/>
      <c r="N42" s="317"/>
      <c r="O42" s="275"/>
      <c r="P42" s="275"/>
      <c r="Q42" s="318"/>
      <c r="R42" s="318"/>
      <c r="S42" s="17"/>
      <c r="T42" s="12"/>
      <c r="U42" s="12"/>
      <c r="V42" s="187"/>
      <c r="W42" s="315"/>
      <c r="X42" s="191"/>
      <c r="Y42" s="191"/>
      <c r="Z42" s="191"/>
      <c r="AA42" s="191"/>
      <c r="AB42" s="191"/>
      <c r="AC42" s="192"/>
    </row>
    <row r="43" spans="1:32" ht="15" customHeight="1" x14ac:dyDescent="0.25">
      <c r="A43" s="52"/>
      <c r="B43" s="67"/>
      <c r="C43" s="264" t="s">
        <v>37</v>
      </c>
      <c r="D43" s="265"/>
      <c r="E43" s="265"/>
      <c r="F43" s="265"/>
      <c r="G43" s="265"/>
      <c r="H43" s="265"/>
      <c r="I43" s="126"/>
      <c r="J43" s="147" t="s">
        <v>175</v>
      </c>
      <c r="K43" s="121"/>
      <c r="L43" s="33"/>
      <c r="M43" s="317"/>
      <c r="N43" s="317"/>
      <c r="O43" s="275"/>
      <c r="P43" s="275"/>
      <c r="Q43" s="298"/>
      <c r="R43" s="298"/>
      <c r="S43" s="17"/>
      <c r="T43" s="12"/>
      <c r="U43" s="12"/>
      <c r="V43" s="33"/>
      <c r="W43" s="33"/>
      <c r="X43" s="33"/>
      <c r="Y43" s="12"/>
      <c r="Z43" s="12"/>
      <c r="AA43" s="12"/>
      <c r="AB43" s="12"/>
      <c r="AC43" s="12"/>
    </row>
    <row r="44" spans="1:32" ht="15.75" customHeight="1" x14ac:dyDescent="0.25">
      <c r="A44" s="52"/>
      <c r="B44" s="15"/>
      <c r="C44" s="13"/>
      <c r="D44" s="13"/>
      <c r="E44" s="13"/>
      <c r="F44" s="13"/>
      <c r="G44" s="13"/>
      <c r="H44" s="13"/>
      <c r="I44" s="127" t="s">
        <v>179</v>
      </c>
      <c r="J44" s="302" t="s">
        <v>180</v>
      </c>
      <c r="K44" s="302"/>
      <c r="L44" s="147"/>
      <c r="M44" s="342"/>
      <c r="N44" s="342"/>
      <c r="O44" s="298"/>
      <c r="P44" s="298"/>
      <c r="Q44" s="299"/>
      <c r="R44" s="299"/>
      <c r="S44" s="17"/>
      <c r="T44" s="12"/>
      <c r="U44" s="12"/>
      <c r="V44" s="86"/>
      <c r="W44" s="245" t="s">
        <v>36</v>
      </c>
      <c r="X44" s="245"/>
      <c r="Y44" s="246"/>
      <c r="Z44" s="247">
        <f>ROUNDUP(SUM('Teacher A'!Z43+'Teacher B'!Z43),1)</f>
        <v>0</v>
      </c>
      <c r="AA44" s="248"/>
      <c r="AB44" s="251" t="e">
        <f>IF((Z44=SUM(Q2+Q3)),"ü","û")</f>
        <v>#N/A</v>
      </c>
      <c r="AC44" s="12"/>
    </row>
    <row r="45" spans="1:32" ht="21" customHeight="1" x14ac:dyDescent="0.25">
      <c r="A45" s="52"/>
      <c r="B45" s="12"/>
      <c r="C45" s="12"/>
      <c r="D45" s="12"/>
      <c r="E45" s="12"/>
      <c r="F45" s="12"/>
      <c r="G45" s="12"/>
      <c r="H45" s="12"/>
      <c r="I45" s="12"/>
      <c r="J45" s="12"/>
      <c r="K45" s="12"/>
      <c r="L45" s="12"/>
      <c r="M45" s="341"/>
      <c r="N45" s="341"/>
      <c r="O45" s="341"/>
      <c r="P45" s="341"/>
      <c r="Q45" s="341"/>
      <c r="R45" s="341"/>
      <c r="S45" s="145"/>
      <c r="T45" s="12"/>
      <c r="U45" s="12"/>
      <c r="V45" s="12"/>
      <c r="W45" s="245"/>
      <c r="X45" s="245"/>
      <c r="Y45" s="246"/>
      <c r="Z45" s="249"/>
      <c r="AA45" s="250"/>
      <c r="AB45" s="251"/>
      <c r="AC45" s="12"/>
    </row>
    <row r="46" spans="1:32" ht="18.75" customHeight="1" thickBot="1" x14ac:dyDescent="0.3">
      <c r="A46" s="52"/>
      <c r="B46" s="12"/>
      <c r="C46" s="12"/>
      <c r="D46" s="12"/>
      <c r="E46" s="12"/>
      <c r="F46" s="12"/>
      <c r="G46" s="12"/>
      <c r="H46" s="12"/>
      <c r="I46" s="12"/>
      <c r="J46" s="12"/>
      <c r="K46" s="12"/>
      <c r="L46" s="12"/>
      <c r="N46" s="148"/>
      <c r="O46" s="148"/>
      <c r="P46" s="148" t="s">
        <v>186</v>
      </c>
      <c r="Q46" s="148"/>
      <c r="R46" s="148"/>
      <c r="S46" s="12"/>
      <c r="T46" s="12"/>
      <c r="U46" s="12"/>
      <c r="V46" s="12"/>
      <c r="W46" s="12"/>
      <c r="X46" s="244" t="s">
        <v>52</v>
      </c>
      <c r="Y46" s="244"/>
      <c r="Z46" s="244"/>
      <c r="AA46" s="244"/>
      <c r="AB46" s="17"/>
      <c r="AC46" s="12"/>
      <c r="AD46" s="41"/>
    </row>
    <row r="47" spans="1:32" ht="26.25" customHeight="1" thickBot="1" x14ac:dyDescent="0.3">
      <c r="A47" s="52"/>
      <c r="B47" s="340" t="s">
        <v>430</v>
      </c>
      <c r="C47" s="340"/>
      <c r="D47" s="340"/>
      <c r="E47" s="340"/>
      <c r="F47" s="340"/>
      <c r="G47" s="340"/>
      <c r="H47" s="340"/>
      <c r="I47" s="340"/>
      <c r="J47" s="340"/>
      <c r="K47" s="340"/>
      <c r="L47" s="340"/>
      <c r="M47" s="340"/>
      <c r="N47" s="340"/>
      <c r="O47" s="39"/>
      <c r="P47" s="331"/>
      <c r="Q47" s="332"/>
      <c r="R47" s="332"/>
      <c r="S47" s="332"/>
      <c r="T47" s="332"/>
      <c r="U47" s="332"/>
      <c r="V47" s="332"/>
      <c r="W47" s="332"/>
      <c r="X47" s="332"/>
      <c r="Y47" s="332"/>
      <c r="Z47" s="332"/>
      <c r="AA47" s="332"/>
      <c r="AB47" s="333"/>
      <c r="AC47" s="15"/>
      <c r="AD47" s="38"/>
      <c r="AE47" s="38"/>
      <c r="AF47" s="38"/>
    </row>
    <row r="48" spans="1:32" x14ac:dyDescent="0.25">
      <c r="A48" s="52"/>
      <c r="B48" s="323" t="s">
        <v>38</v>
      </c>
      <c r="C48" s="324"/>
      <c r="D48" s="324"/>
      <c r="E48" s="324"/>
      <c r="F48" s="324"/>
      <c r="G48" s="324"/>
      <c r="H48" s="324"/>
      <c r="I48" s="324"/>
      <c r="J48" s="324"/>
      <c r="K48" s="324"/>
      <c r="L48" s="324"/>
      <c r="M48" s="324"/>
      <c r="N48" s="325"/>
      <c r="O48" s="100"/>
      <c r="P48" s="334"/>
      <c r="Q48" s="335"/>
      <c r="R48" s="335"/>
      <c r="S48" s="335"/>
      <c r="T48" s="335"/>
      <c r="U48" s="335"/>
      <c r="V48" s="335"/>
      <c r="W48" s="335"/>
      <c r="X48" s="335"/>
      <c r="Y48" s="335"/>
      <c r="Z48" s="335"/>
      <c r="AA48" s="335"/>
      <c r="AB48" s="336"/>
      <c r="AC48" s="46"/>
      <c r="AD48" s="38"/>
      <c r="AE48" s="38"/>
      <c r="AF48" s="38"/>
    </row>
    <row r="49" spans="1:32" ht="26.25" customHeight="1" x14ac:dyDescent="0.25">
      <c r="A49" s="52"/>
      <c r="B49" s="326" t="s">
        <v>39</v>
      </c>
      <c r="C49" s="327"/>
      <c r="D49" s="327"/>
      <c r="E49" s="327"/>
      <c r="F49" s="327"/>
      <c r="G49" s="327"/>
      <c r="H49" s="327"/>
      <c r="I49" s="327"/>
      <c r="J49" s="327"/>
      <c r="K49" s="327"/>
      <c r="L49" s="327"/>
      <c r="M49" s="327"/>
      <c r="N49" s="328"/>
      <c r="O49" s="45"/>
      <c r="P49" s="334"/>
      <c r="Q49" s="335"/>
      <c r="R49" s="335"/>
      <c r="S49" s="335"/>
      <c r="T49" s="335"/>
      <c r="U49" s="335"/>
      <c r="V49" s="335"/>
      <c r="W49" s="335"/>
      <c r="X49" s="335"/>
      <c r="Y49" s="335"/>
      <c r="Z49" s="335"/>
      <c r="AA49" s="335"/>
      <c r="AB49" s="336"/>
      <c r="AC49" s="46"/>
      <c r="AD49" s="37"/>
      <c r="AE49" s="37"/>
      <c r="AF49" s="37"/>
    </row>
    <row r="50" spans="1:32" ht="21" customHeight="1" x14ac:dyDescent="0.25">
      <c r="A50" s="17"/>
      <c r="B50" s="101"/>
      <c r="C50" s="102" t="s">
        <v>40</v>
      </c>
      <c r="D50" s="329">
        <f>'Teacher A'!C50</f>
        <v>0</v>
      </c>
      <c r="E50" s="329"/>
      <c r="F50" s="103" t="s">
        <v>156</v>
      </c>
      <c r="G50" s="17"/>
      <c r="H50" s="17"/>
      <c r="I50" s="17"/>
      <c r="J50" s="104" t="s">
        <v>40</v>
      </c>
      <c r="K50" s="330">
        <f>'Teacher B'!C50</f>
        <v>0</v>
      </c>
      <c r="L50" s="330"/>
      <c r="M50" s="105" t="s">
        <v>156</v>
      </c>
      <c r="N50" s="106"/>
      <c r="O50" s="39"/>
      <c r="P50" s="334"/>
      <c r="Q50" s="335"/>
      <c r="R50" s="335"/>
      <c r="S50" s="335"/>
      <c r="T50" s="335"/>
      <c r="U50" s="335"/>
      <c r="V50" s="335"/>
      <c r="W50" s="335"/>
      <c r="X50" s="335"/>
      <c r="Y50" s="335"/>
      <c r="Z50" s="335"/>
      <c r="AA50" s="335"/>
      <c r="AB50" s="336"/>
      <c r="AC50" s="40"/>
      <c r="AD50" s="37"/>
      <c r="AE50" s="37"/>
      <c r="AF50" s="37"/>
    </row>
    <row r="51" spans="1:32" ht="21.75" customHeight="1" x14ac:dyDescent="0.25">
      <c r="A51" s="15"/>
      <c r="B51" s="101"/>
      <c r="C51" s="107" t="s">
        <v>41</v>
      </c>
      <c r="D51" s="329">
        <f>'Teacher A'!C51</f>
        <v>0</v>
      </c>
      <c r="E51" s="329"/>
      <c r="F51" s="103" t="s">
        <v>156</v>
      </c>
      <c r="G51" s="112"/>
      <c r="H51" s="112"/>
      <c r="I51" s="112"/>
      <c r="J51" s="104" t="s">
        <v>41</v>
      </c>
      <c r="K51" s="330">
        <f>'Teacher B'!C51</f>
        <v>0</v>
      </c>
      <c r="L51" s="330"/>
      <c r="M51" s="105" t="s">
        <v>156</v>
      </c>
      <c r="N51" s="106"/>
      <c r="O51" s="45"/>
      <c r="P51" s="334"/>
      <c r="Q51" s="335"/>
      <c r="R51" s="335"/>
      <c r="S51" s="335"/>
      <c r="T51" s="335"/>
      <c r="U51" s="335"/>
      <c r="V51" s="335"/>
      <c r="W51" s="335"/>
      <c r="X51" s="335"/>
      <c r="Y51" s="335"/>
      <c r="Z51" s="335"/>
      <c r="AA51" s="335"/>
      <c r="AB51" s="336"/>
      <c r="AC51" s="40"/>
      <c r="AD51" s="91"/>
    </row>
    <row r="52" spans="1:32" ht="15.75" thickBot="1" x14ac:dyDescent="0.3">
      <c r="A52" s="12"/>
      <c r="B52" s="108"/>
      <c r="C52" s="110"/>
      <c r="D52" s="110"/>
      <c r="E52" s="110"/>
      <c r="F52" s="110"/>
      <c r="G52" s="110"/>
      <c r="H52" s="110"/>
      <c r="I52" s="109"/>
      <c r="J52" s="109"/>
      <c r="K52" s="109"/>
      <c r="L52" s="109"/>
      <c r="M52" s="110"/>
      <c r="N52" s="111"/>
      <c r="O52" s="45"/>
      <c r="P52" s="337"/>
      <c r="Q52" s="338"/>
      <c r="R52" s="338"/>
      <c r="S52" s="338"/>
      <c r="T52" s="338"/>
      <c r="U52" s="338"/>
      <c r="V52" s="338"/>
      <c r="W52" s="338"/>
      <c r="X52" s="338"/>
      <c r="Y52" s="338"/>
      <c r="Z52" s="338"/>
      <c r="AA52" s="338"/>
      <c r="AB52" s="339"/>
      <c r="AC52" s="45"/>
      <c r="AD52" s="91"/>
    </row>
    <row r="53" spans="1:32" x14ac:dyDescent="0.25">
      <c r="A53" s="12"/>
      <c r="B53" s="322" t="s">
        <v>428</v>
      </c>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57"/>
      <c r="AD53" s="91"/>
    </row>
    <row r="54" spans="1:32" x14ac:dyDescent="0.25">
      <c r="A54" s="12"/>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12"/>
      <c r="AD54" s="41"/>
    </row>
    <row r="55" spans="1:32"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sheetData>
  <sheetProtection algorithmName="SHA-512" hashValue="MjTjO8PNvF317hxOjJu5OuPf4WPoXNxDyUo/W+WLtj0h12JsVUHsbdP5oHZSIRhImZlwTeCYTj+da3XkkcMqPw==" saltValue="SbAk4c+IaHl2vkDaIDAJMg==" spinCount="100000" sheet="1" selectLockedCells="1"/>
  <mergeCells count="54">
    <mergeCell ref="W44:Y45"/>
    <mergeCell ref="Z44:AA45"/>
    <mergeCell ref="B53:AB54"/>
    <mergeCell ref="B48:N48"/>
    <mergeCell ref="B49:N49"/>
    <mergeCell ref="D50:E50"/>
    <mergeCell ref="K50:L50"/>
    <mergeCell ref="D51:E51"/>
    <mergeCell ref="K51:L51"/>
    <mergeCell ref="P47:AB52"/>
    <mergeCell ref="B47:N47"/>
    <mergeCell ref="M45:R45"/>
    <mergeCell ref="AB44:AB45"/>
    <mergeCell ref="X46:AA46"/>
    <mergeCell ref="M44:N44"/>
    <mergeCell ref="J44:K44"/>
    <mergeCell ref="B1:C1"/>
    <mergeCell ref="D1:L1"/>
    <mergeCell ref="B3:C3"/>
    <mergeCell ref="B6:B15"/>
    <mergeCell ref="I6:I15"/>
    <mergeCell ref="B2:C2"/>
    <mergeCell ref="D2:L2"/>
    <mergeCell ref="D3:L3"/>
    <mergeCell ref="W6:W15"/>
    <mergeCell ref="C40:D40"/>
    <mergeCell ref="J40:K40"/>
    <mergeCell ref="W17:W26"/>
    <mergeCell ref="W28:W37"/>
    <mergeCell ref="I28:I37"/>
    <mergeCell ref="P28:P37"/>
    <mergeCell ref="I17:I26"/>
    <mergeCell ref="P17:P26"/>
    <mergeCell ref="W39:W42"/>
    <mergeCell ref="M41:R41"/>
    <mergeCell ref="M42:N43"/>
    <mergeCell ref="Q43:R43"/>
    <mergeCell ref="O42:P43"/>
    <mergeCell ref="Q42:R42"/>
    <mergeCell ref="C42:G42"/>
    <mergeCell ref="C43:H43"/>
    <mergeCell ref="C41:E41"/>
    <mergeCell ref="B28:B37"/>
    <mergeCell ref="T2:U2"/>
    <mergeCell ref="Q2:R2"/>
    <mergeCell ref="Q3:R3"/>
    <mergeCell ref="P6:P15"/>
    <mergeCell ref="B17:B26"/>
    <mergeCell ref="O44:P44"/>
    <mergeCell ref="Q44:R44"/>
    <mergeCell ref="N1:O1"/>
    <mergeCell ref="P1:Q1"/>
    <mergeCell ref="J41:K41"/>
    <mergeCell ref="J42:K42"/>
  </mergeCells>
  <conditionalFormatting sqref="Z44">
    <cfRule type="expression" dxfId="480" priority="11424">
      <formula>$Z$44&lt;&gt;SUM($Q$2+$Q$3)</formula>
    </cfRule>
  </conditionalFormatting>
  <conditionalFormatting sqref="C14:G14">
    <cfRule type="cellIs" dxfId="479" priority="2270" operator="equal">
      <formula>"Both"</formula>
    </cfRule>
    <cfRule type="cellIs" dxfId="478" priority="2271" operator="equal">
      <formula>$M$3</formula>
    </cfRule>
    <cfRule type="cellIs" dxfId="477" priority="2272" operator="equal">
      <formula>$M$2</formula>
    </cfRule>
    <cfRule type="expression" dxfId="476" priority="2275">
      <formula>C15=""</formula>
    </cfRule>
  </conditionalFormatting>
  <conditionalFormatting sqref="G14">
    <cfRule type="cellIs" dxfId="475" priority="2268" operator="equal">
      <formula>"error"</formula>
    </cfRule>
  </conditionalFormatting>
  <conditionalFormatting sqref="C14:F14">
    <cfRule type="cellIs" dxfId="474" priority="2267" operator="equal">
      <formula>"error"</formula>
    </cfRule>
  </conditionalFormatting>
  <conditionalFormatting sqref="C12:G12">
    <cfRule type="cellIs" dxfId="473" priority="2260" operator="equal">
      <formula>"Both"</formula>
    </cfRule>
    <cfRule type="cellIs" dxfId="472" priority="2261" operator="equal">
      <formula>$M$3</formula>
    </cfRule>
    <cfRule type="cellIs" dxfId="471" priority="2262" operator="equal">
      <formula>$M$2</formula>
    </cfRule>
    <cfRule type="expression" dxfId="470" priority="2265">
      <formula>C13=""</formula>
    </cfRule>
  </conditionalFormatting>
  <conditionalFormatting sqref="G12">
    <cfRule type="cellIs" dxfId="469" priority="2258" operator="equal">
      <formula>"error"</formula>
    </cfRule>
  </conditionalFormatting>
  <conditionalFormatting sqref="C12:F12">
    <cfRule type="cellIs" dxfId="468" priority="2257" operator="equal">
      <formula>"error"</formula>
    </cfRule>
  </conditionalFormatting>
  <conditionalFormatting sqref="C10:G10">
    <cfRule type="cellIs" dxfId="467" priority="2250" operator="equal">
      <formula>"Both"</formula>
    </cfRule>
    <cfRule type="cellIs" dxfId="466" priority="2251" operator="equal">
      <formula>$M$3</formula>
    </cfRule>
    <cfRule type="cellIs" dxfId="465" priority="2252" operator="equal">
      <formula>$M$2</formula>
    </cfRule>
    <cfRule type="expression" dxfId="464" priority="2255">
      <formula>C11=""</formula>
    </cfRule>
  </conditionalFormatting>
  <conditionalFormatting sqref="G10">
    <cfRule type="cellIs" dxfId="463" priority="2248" operator="equal">
      <formula>"error"</formula>
    </cfRule>
  </conditionalFormatting>
  <conditionalFormatting sqref="C10:F10">
    <cfRule type="cellIs" dxfId="462" priority="2247" operator="equal">
      <formula>"error"</formula>
    </cfRule>
  </conditionalFormatting>
  <conditionalFormatting sqref="C8:G8">
    <cfRule type="cellIs" dxfId="461" priority="2240" operator="equal">
      <formula>"Both"</formula>
    </cfRule>
    <cfRule type="cellIs" dxfId="460" priority="2241" operator="equal">
      <formula>$M$3</formula>
    </cfRule>
    <cfRule type="cellIs" dxfId="459" priority="2242" operator="equal">
      <formula>$M$2</formula>
    </cfRule>
    <cfRule type="expression" dxfId="458" priority="2245">
      <formula>C9=""</formula>
    </cfRule>
  </conditionalFormatting>
  <conditionalFormatting sqref="G8">
    <cfRule type="cellIs" dxfId="457" priority="2238" operator="equal">
      <formula>"error"</formula>
    </cfRule>
  </conditionalFormatting>
  <conditionalFormatting sqref="C8:F8">
    <cfRule type="cellIs" dxfId="456" priority="2237" operator="equal">
      <formula>"error"</formula>
    </cfRule>
  </conditionalFormatting>
  <conditionalFormatting sqref="C6:G6">
    <cfRule type="cellIs" dxfId="455" priority="2230" operator="equal">
      <formula>"Both"</formula>
    </cfRule>
    <cfRule type="cellIs" dxfId="454" priority="2231" operator="equal">
      <formula>$M$3</formula>
    </cfRule>
    <cfRule type="cellIs" dxfId="453" priority="2232" operator="equal">
      <formula>$M$2</formula>
    </cfRule>
    <cfRule type="expression" dxfId="452" priority="2235">
      <formula>C7=""</formula>
    </cfRule>
  </conditionalFormatting>
  <conditionalFormatting sqref="G6">
    <cfRule type="cellIs" dxfId="451" priority="2228" operator="equal">
      <formula>"error"</formula>
    </cfRule>
  </conditionalFormatting>
  <conditionalFormatting sqref="C6:F6">
    <cfRule type="cellIs" dxfId="450" priority="2227" operator="equal">
      <formula>"error"</formula>
    </cfRule>
  </conditionalFormatting>
  <conditionalFormatting sqref="X39:AB39">
    <cfRule type="cellIs" dxfId="449" priority="1210" operator="equal">
      <formula>"Both"</formula>
    </cfRule>
    <cfRule type="cellIs" dxfId="448" priority="1211" operator="equal">
      <formula>$M$3</formula>
    </cfRule>
    <cfRule type="cellIs" dxfId="447" priority="1212" operator="equal">
      <formula>$M$2</formula>
    </cfRule>
    <cfRule type="expression" dxfId="446" priority="1215">
      <formula>X40=""</formula>
    </cfRule>
  </conditionalFormatting>
  <conditionalFormatting sqref="AB39">
    <cfRule type="cellIs" dxfId="445" priority="1208" operator="equal">
      <formula>"error"</formula>
    </cfRule>
  </conditionalFormatting>
  <conditionalFormatting sqref="X39:AA39">
    <cfRule type="cellIs" dxfId="444" priority="1207" operator="equal">
      <formula>"error"</formula>
    </cfRule>
  </conditionalFormatting>
  <conditionalFormatting sqref="X41:AB41">
    <cfRule type="cellIs" dxfId="443" priority="1190" operator="equal">
      <formula>"Both"</formula>
    </cfRule>
    <cfRule type="cellIs" dxfId="442" priority="1191" operator="equal">
      <formula>$M$3</formula>
    </cfRule>
    <cfRule type="cellIs" dxfId="441" priority="1192" operator="equal">
      <formula>$M$2</formula>
    </cfRule>
    <cfRule type="expression" dxfId="440" priority="1195">
      <formula>X42=""</formula>
    </cfRule>
  </conditionalFormatting>
  <conditionalFormatting sqref="AB41">
    <cfRule type="cellIs" dxfId="439" priority="1188" operator="equal">
      <formula>"error"</formula>
    </cfRule>
  </conditionalFormatting>
  <conditionalFormatting sqref="X41:AA41">
    <cfRule type="cellIs" dxfId="438" priority="1187" operator="equal">
      <formula>"error"</formula>
    </cfRule>
  </conditionalFormatting>
  <conditionalFormatting sqref="C25:G25">
    <cfRule type="cellIs" dxfId="437" priority="1120" operator="equal">
      <formula>"Both"</formula>
    </cfRule>
    <cfRule type="cellIs" dxfId="436" priority="1121" operator="equal">
      <formula>$M$3</formula>
    </cfRule>
    <cfRule type="cellIs" dxfId="435" priority="1122" operator="equal">
      <formula>$M$2</formula>
    </cfRule>
    <cfRule type="expression" dxfId="434" priority="1125">
      <formula>C26=""</formula>
    </cfRule>
  </conditionalFormatting>
  <conditionalFormatting sqref="G25">
    <cfRule type="cellIs" dxfId="433" priority="1118" operator="equal">
      <formula>"error"</formula>
    </cfRule>
  </conditionalFormatting>
  <conditionalFormatting sqref="C25:F25">
    <cfRule type="cellIs" dxfId="432" priority="1117" operator="equal">
      <formula>"error"</formula>
    </cfRule>
  </conditionalFormatting>
  <conditionalFormatting sqref="C23:G23">
    <cfRule type="cellIs" dxfId="431" priority="1110" operator="equal">
      <formula>"Both"</formula>
    </cfRule>
    <cfRule type="cellIs" dxfId="430" priority="1111" operator="equal">
      <formula>$M$3</formula>
    </cfRule>
    <cfRule type="cellIs" dxfId="429" priority="1112" operator="equal">
      <formula>$M$2</formula>
    </cfRule>
    <cfRule type="expression" dxfId="428" priority="1115">
      <formula>C24=""</formula>
    </cfRule>
  </conditionalFormatting>
  <conditionalFormatting sqref="G23">
    <cfRule type="cellIs" dxfId="427" priority="1108" operator="equal">
      <formula>"error"</formula>
    </cfRule>
  </conditionalFormatting>
  <conditionalFormatting sqref="C23:F23">
    <cfRule type="cellIs" dxfId="426" priority="1107" operator="equal">
      <formula>"error"</formula>
    </cfRule>
  </conditionalFormatting>
  <conditionalFormatting sqref="C21:G21">
    <cfRule type="cellIs" dxfId="425" priority="1100" operator="equal">
      <formula>"Both"</formula>
    </cfRule>
    <cfRule type="cellIs" dxfId="424" priority="1101" operator="equal">
      <formula>$M$3</formula>
    </cfRule>
    <cfRule type="cellIs" dxfId="423" priority="1102" operator="equal">
      <formula>$M$2</formula>
    </cfRule>
    <cfRule type="expression" dxfId="422" priority="1105">
      <formula>C22=""</formula>
    </cfRule>
  </conditionalFormatting>
  <conditionalFormatting sqref="G21">
    <cfRule type="cellIs" dxfId="421" priority="1098" operator="equal">
      <formula>"error"</formula>
    </cfRule>
  </conditionalFormatting>
  <conditionalFormatting sqref="C21:F21">
    <cfRule type="cellIs" dxfId="420" priority="1097" operator="equal">
      <formula>"error"</formula>
    </cfRule>
  </conditionalFormatting>
  <conditionalFormatting sqref="C19:G19">
    <cfRule type="cellIs" dxfId="419" priority="1090" operator="equal">
      <formula>"Both"</formula>
    </cfRule>
    <cfRule type="cellIs" dxfId="418" priority="1091" operator="equal">
      <formula>$M$3</formula>
    </cfRule>
    <cfRule type="cellIs" dxfId="417" priority="1092" operator="equal">
      <formula>$M$2</formula>
    </cfRule>
    <cfRule type="expression" dxfId="416" priority="1095">
      <formula>C20=""</formula>
    </cfRule>
  </conditionalFormatting>
  <conditionalFormatting sqref="G19">
    <cfRule type="cellIs" dxfId="415" priority="1088" operator="equal">
      <formula>"error"</formula>
    </cfRule>
  </conditionalFormatting>
  <conditionalFormatting sqref="C19:F19">
    <cfRule type="cellIs" dxfId="414" priority="1087" operator="equal">
      <formula>"error"</formula>
    </cfRule>
  </conditionalFormatting>
  <conditionalFormatting sqref="C17:G17">
    <cfRule type="cellIs" dxfId="413" priority="1080" operator="equal">
      <formula>"Both"</formula>
    </cfRule>
    <cfRule type="cellIs" dxfId="412" priority="1081" operator="equal">
      <formula>$M$3</formula>
    </cfRule>
    <cfRule type="cellIs" dxfId="411" priority="1082" operator="equal">
      <formula>$M$2</formula>
    </cfRule>
    <cfRule type="expression" dxfId="410" priority="1085">
      <formula>C18=""</formula>
    </cfRule>
  </conditionalFormatting>
  <conditionalFormatting sqref="G17">
    <cfRule type="cellIs" dxfId="409" priority="1078" operator="equal">
      <formula>"error"</formula>
    </cfRule>
  </conditionalFormatting>
  <conditionalFormatting sqref="C17:F17">
    <cfRule type="cellIs" dxfId="408" priority="1077" operator="equal">
      <formula>"error"</formula>
    </cfRule>
  </conditionalFormatting>
  <conditionalFormatting sqref="C36:G36">
    <cfRule type="cellIs" dxfId="407" priority="1020" operator="equal">
      <formula>"Both"</formula>
    </cfRule>
    <cfRule type="cellIs" dxfId="406" priority="1021" operator="equal">
      <formula>$M$3</formula>
    </cfRule>
    <cfRule type="cellIs" dxfId="405" priority="1022" operator="equal">
      <formula>$M$2</formula>
    </cfRule>
    <cfRule type="expression" dxfId="404" priority="1025">
      <formula>C37=""</formula>
    </cfRule>
  </conditionalFormatting>
  <conditionalFormatting sqref="G36">
    <cfRule type="cellIs" dxfId="403" priority="1018" operator="equal">
      <formula>"error"</formula>
    </cfRule>
  </conditionalFormatting>
  <conditionalFormatting sqref="C36:F36">
    <cfRule type="cellIs" dxfId="402" priority="1017" operator="equal">
      <formula>"error"</formula>
    </cfRule>
  </conditionalFormatting>
  <conditionalFormatting sqref="C34:G34">
    <cfRule type="cellIs" dxfId="401" priority="1010" operator="equal">
      <formula>"Both"</formula>
    </cfRule>
    <cfRule type="cellIs" dxfId="400" priority="1011" operator="equal">
      <formula>$M$3</formula>
    </cfRule>
    <cfRule type="cellIs" dxfId="399" priority="1012" operator="equal">
      <formula>$M$2</formula>
    </cfRule>
    <cfRule type="expression" dxfId="398" priority="1015">
      <formula>C35=""</formula>
    </cfRule>
  </conditionalFormatting>
  <conditionalFormatting sqref="G34">
    <cfRule type="cellIs" dxfId="397" priority="1008" operator="equal">
      <formula>"error"</formula>
    </cfRule>
  </conditionalFormatting>
  <conditionalFormatting sqref="C34:F34">
    <cfRule type="cellIs" dxfId="396" priority="1007" operator="equal">
      <formula>"error"</formula>
    </cfRule>
  </conditionalFormatting>
  <conditionalFormatting sqref="C32:G32">
    <cfRule type="cellIs" dxfId="395" priority="1000" operator="equal">
      <formula>"Both"</formula>
    </cfRule>
    <cfRule type="cellIs" dxfId="394" priority="1001" operator="equal">
      <formula>$M$3</formula>
    </cfRule>
    <cfRule type="cellIs" dxfId="393" priority="1002" operator="equal">
      <formula>$M$2</formula>
    </cfRule>
    <cfRule type="expression" dxfId="392" priority="1005">
      <formula>C33=""</formula>
    </cfRule>
  </conditionalFormatting>
  <conditionalFormatting sqref="G32">
    <cfRule type="cellIs" dxfId="391" priority="998" operator="equal">
      <formula>"error"</formula>
    </cfRule>
  </conditionalFormatting>
  <conditionalFormatting sqref="C32:F32">
    <cfRule type="cellIs" dxfId="390" priority="997" operator="equal">
      <formula>"error"</formula>
    </cfRule>
  </conditionalFormatting>
  <conditionalFormatting sqref="C30:G30">
    <cfRule type="cellIs" dxfId="389" priority="990" operator="equal">
      <formula>"Both"</formula>
    </cfRule>
    <cfRule type="cellIs" dxfId="388" priority="991" operator="equal">
      <formula>$M$3</formula>
    </cfRule>
    <cfRule type="cellIs" dxfId="387" priority="992" operator="equal">
      <formula>$M$2</formula>
    </cfRule>
    <cfRule type="expression" dxfId="386" priority="995">
      <formula>C31=""</formula>
    </cfRule>
  </conditionalFormatting>
  <conditionalFormatting sqref="G30">
    <cfRule type="cellIs" dxfId="385" priority="988" operator="equal">
      <formula>"error"</formula>
    </cfRule>
  </conditionalFormatting>
  <conditionalFormatting sqref="C30:F30">
    <cfRule type="cellIs" dxfId="384" priority="987" operator="equal">
      <formula>"error"</formula>
    </cfRule>
  </conditionalFormatting>
  <conditionalFormatting sqref="C28:G28">
    <cfRule type="cellIs" dxfId="383" priority="980" operator="equal">
      <formula>"Both"</formula>
    </cfRule>
    <cfRule type="cellIs" dxfId="382" priority="981" operator="equal">
      <formula>$M$3</formula>
    </cfRule>
    <cfRule type="cellIs" dxfId="381" priority="982" operator="equal">
      <formula>$M$2</formula>
    </cfRule>
    <cfRule type="expression" dxfId="380" priority="985">
      <formula>C29=""</formula>
    </cfRule>
  </conditionalFormatting>
  <conditionalFormatting sqref="G28">
    <cfRule type="cellIs" dxfId="379" priority="978" operator="equal">
      <formula>"error"</formula>
    </cfRule>
  </conditionalFormatting>
  <conditionalFormatting sqref="C28:F28">
    <cfRule type="cellIs" dxfId="378" priority="977" operator="equal">
      <formula>"error"</formula>
    </cfRule>
  </conditionalFormatting>
  <conditionalFormatting sqref="J36:N36">
    <cfRule type="cellIs" dxfId="377" priority="920" operator="equal">
      <formula>"Both"</formula>
    </cfRule>
    <cfRule type="cellIs" dxfId="376" priority="921" operator="equal">
      <formula>$M$3</formula>
    </cfRule>
    <cfRule type="cellIs" dxfId="375" priority="922" operator="equal">
      <formula>$M$2</formula>
    </cfRule>
    <cfRule type="expression" dxfId="374" priority="925">
      <formula>J37=""</formula>
    </cfRule>
  </conditionalFormatting>
  <conditionalFormatting sqref="N36">
    <cfRule type="cellIs" dxfId="373" priority="918" operator="equal">
      <formula>"error"</formula>
    </cfRule>
  </conditionalFormatting>
  <conditionalFormatting sqref="J36:M36">
    <cfRule type="cellIs" dxfId="372" priority="917" operator="equal">
      <formula>"error"</formula>
    </cfRule>
  </conditionalFormatting>
  <conditionalFormatting sqref="J34:N34">
    <cfRule type="cellIs" dxfId="371" priority="910" operator="equal">
      <formula>"Both"</formula>
    </cfRule>
    <cfRule type="cellIs" dxfId="370" priority="911" operator="equal">
      <formula>$M$3</formula>
    </cfRule>
    <cfRule type="cellIs" dxfId="369" priority="912" operator="equal">
      <formula>$M$2</formula>
    </cfRule>
    <cfRule type="expression" dxfId="368" priority="915">
      <formula>J35=""</formula>
    </cfRule>
  </conditionalFormatting>
  <conditionalFormatting sqref="N34">
    <cfRule type="cellIs" dxfId="367" priority="908" operator="equal">
      <formula>"error"</formula>
    </cfRule>
  </conditionalFormatting>
  <conditionalFormatting sqref="J34:M34">
    <cfRule type="cellIs" dxfId="366" priority="907" operator="equal">
      <formula>"error"</formula>
    </cfRule>
  </conditionalFormatting>
  <conditionalFormatting sqref="J32:N32">
    <cfRule type="cellIs" dxfId="365" priority="900" operator="equal">
      <formula>"Both"</formula>
    </cfRule>
    <cfRule type="cellIs" dxfId="364" priority="901" operator="equal">
      <formula>$M$3</formula>
    </cfRule>
    <cfRule type="cellIs" dxfId="363" priority="902" operator="equal">
      <formula>$M$2</formula>
    </cfRule>
    <cfRule type="expression" dxfId="362" priority="905">
      <formula>J33=""</formula>
    </cfRule>
  </conditionalFormatting>
  <conditionalFormatting sqref="N32">
    <cfRule type="cellIs" dxfId="361" priority="898" operator="equal">
      <formula>"error"</formula>
    </cfRule>
  </conditionalFormatting>
  <conditionalFormatting sqref="J32:M32">
    <cfRule type="cellIs" dxfId="360" priority="897" operator="equal">
      <formula>"error"</formula>
    </cfRule>
  </conditionalFormatting>
  <conditionalFormatting sqref="J30:N30">
    <cfRule type="cellIs" dxfId="359" priority="890" operator="equal">
      <formula>"Both"</formula>
    </cfRule>
    <cfRule type="cellIs" dxfId="358" priority="891" operator="equal">
      <formula>$M$3</formula>
    </cfRule>
    <cfRule type="cellIs" dxfId="357" priority="892" operator="equal">
      <formula>$M$2</formula>
    </cfRule>
    <cfRule type="expression" dxfId="356" priority="895">
      <formula>J31=""</formula>
    </cfRule>
  </conditionalFormatting>
  <conditionalFormatting sqref="N30">
    <cfRule type="cellIs" dxfId="355" priority="888" operator="equal">
      <formula>"error"</formula>
    </cfRule>
  </conditionalFormatting>
  <conditionalFormatting sqref="J30:M30">
    <cfRule type="cellIs" dxfId="354" priority="887" operator="equal">
      <formula>"error"</formula>
    </cfRule>
  </conditionalFormatting>
  <conditionalFormatting sqref="J28:N28">
    <cfRule type="cellIs" dxfId="353" priority="880" operator="equal">
      <formula>"Both"</formula>
    </cfRule>
    <cfRule type="cellIs" dxfId="352" priority="881" operator="equal">
      <formula>$M$3</formula>
    </cfRule>
    <cfRule type="cellIs" dxfId="351" priority="882" operator="equal">
      <formula>$M$2</formula>
    </cfRule>
    <cfRule type="expression" dxfId="350" priority="885">
      <formula>J29=""</formula>
    </cfRule>
  </conditionalFormatting>
  <conditionalFormatting sqref="N28">
    <cfRule type="cellIs" dxfId="349" priority="878" operator="equal">
      <formula>"error"</formula>
    </cfRule>
  </conditionalFormatting>
  <conditionalFormatting sqref="J28:M28">
    <cfRule type="cellIs" dxfId="348" priority="877" operator="equal">
      <formula>"error"</formula>
    </cfRule>
  </conditionalFormatting>
  <conditionalFormatting sqref="J25:N25">
    <cfRule type="cellIs" dxfId="347" priority="820" operator="equal">
      <formula>"Both"</formula>
    </cfRule>
    <cfRule type="cellIs" dxfId="346" priority="821" operator="equal">
      <formula>$M$3</formula>
    </cfRule>
    <cfRule type="cellIs" dxfId="345" priority="822" operator="equal">
      <formula>$M$2</formula>
    </cfRule>
    <cfRule type="expression" dxfId="344" priority="825">
      <formula>J26=""</formula>
    </cfRule>
  </conditionalFormatting>
  <conditionalFormatting sqref="N25">
    <cfRule type="cellIs" dxfId="343" priority="818" operator="equal">
      <formula>"error"</formula>
    </cfRule>
  </conditionalFormatting>
  <conditionalFormatting sqref="J25:M25">
    <cfRule type="cellIs" dxfId="342" priority="817" operator="equal">
      <formula>"error"</formula>
    </cfRule>
  </conditionalFormatting>
  <conditionalFormatting sqref="J23:N23">
    <cfRule type="cellIs" dxfId="341" priority="810" operator="equal">
      <formula>"Both"</formula>
    </cfRule>
    <cfRule type="cellIs" dxfId="340" priority="811" operator="equal">
      <formula>$M$3</formula>
    </cfRule>
    <cfRule type="cellIs" dxfId="339" priority="812" operator="equal">
      <formula>$M$2</formula>
    </cfRule>
    <cfRule type="expression" dxfId="338" priority="815">
      <formula>J24=""</formula>
    </cfRule>
  </conditionalFormatting>
  <conditionalFormatting sqref="N23">
    <cfRule type="cellIs" dxfId="337" priority="808" operator="equal">
      <formula>"error"</formula>
    </cfRule>
  </conditionalFormatting>
  <conditionalFormatting sqref="J23:M23">
    <cfRule type="cellIs" dxfId="336" priority="807" operator="equal">
      <formula>"error"</formula>
    </cfRule>
  </conditionalFormatting>
  <conditionalFormatting sqref="J21:N21">
    <cfRule type="cellIs" dxfId="335" priority="800" operator="equal">
      <formula>"Both"</formula>
    </cfRule>
    <cfRule type="cellIs" dxfId="334" priority="801" operator="equal">
      <formula>$M$3</formula>
    </cfRule>
    <cfRule type="cellIs" dxfId="333" priority="802" operator="equal">
      <formula>$M$2</formula>
    </cfRule>
    <cfRule type="expression" dxfId="332" priority="805">
      <formula>J22=""</formula>
    </cfRule>
  </conditionalFormatting>
  <conditionalFormatting sqref="N21">
    <cfRule type="cellIs" dxfId="331" priority="798" operator="equal">
      <formula>"error"</formula>
    </cfRule>
  </conditionalFormatting>
  <conditionalFormatting sqref="J21:M21">
    <cfRule type="cellIs" dxfId="330" priority="797" operator="equal">
      <formula>"error"</formula>
    </cfRule>
  </conditionalFormatting>
  <conditionalFormatting sqref="J19:N19">
    <cfRule type="cellIs" dxfId="329" priority="790" operator="equal">
      <formula>"Both"</formula>
    </cfRule>
    <cfRule type="cellIs" dxfId="328" priority="791" operator="equal">
      <formula>$M$3</formula>
    </cfRule>
    <cfRule type="cellIs" dxfId="327" priority="792" operator="equal">
      <formula>$M$2</formula>
    </cfRule>
    <cfRule type="expression" dxfId="326" priority="795">
      <formula>J20=""</formula>
    </cfRule>
  </conditionalFormatting>
  <conditionalFormatting sqref="N19">
    <cfRule type="cellIs" dxfId="325" priority="788" operator="equal">
      <formula>"error"</formula>
    </cfRule>
  </conditionalFormatting>
  <conditionalFormatting sqref="J19:M19">
    <cfRule type="cellIs" dxfId="324" priority="787" operator="equal">
      <formula>"error"</formula>
    </cfRule>
  </conditionalFormatting>
  <conditionalFormatting sqref="J17:N17">
    <cfRule type="cellIs" dxfId="323" priority="780" operator="equal">
      <formula>"Both"</formula>
    </cfRule>
    <cfRule type="cellIs" dxfId="322" priority="781" operator="equal">
      <formula>$M$3</formula>
    </cfRule>
    <cfRule type="cellIs" dxfId="321" priority="782" operator="equal">
      <formula>$M$2</formula>
    </cfRule>
    <cfRule type="expression" dxfId="320" priority="785">
      <formula>J18=""</formula>
    </cfRule>
  </conditionalFormatting>
  <conditionalFormatting sqref="N17">
    <cfRule type="cellIs" dxfId="319" priority="778" operator="equal">
      <formula>"error"</formula>
    </cfRule>
  </conditionalFormatting>
  <conditionalFormatting sqref="J17:M17">
    <cfRule type="cellIs" dxfId="318" priority="777" operator="equal">
      <formula>"error"</formula>
    </cfRule>
  </conditionalFormatting>
  <conditionalFormatting sqref="J14:N14">
    <cfRule type="cellIs" dxfId="317" priority="720" operator="equal">
      <formula>"Both"</formula>
    </cfRule>
    <cfRule type="cellIs" dxfId="316" priority="721" operator="equal">
      <formula>$M$3</formula>
    </cfRule>
    <cfRule type="cellIs" dxfId="315" priority="722" operator="equal">
      <formula>$M$2</formula>
    </cfRule>
    <cfRule type="expression" dxfId="314" priority="725">
      <formula>J15=""</formula>
    </cfRule>
  </conditionalFormatting>
  <conditionalFormatting sqref="N14">
    <cfRule type="cellIs" dxfId="313" priority="718" operator="equal">
      <formula>"error"</formula>
    </cfRule>
  </conditionalFormatting>
  <conditionalFormatting sqref="J14:M14">
    <cfRule type="cellIs" dxfId="312" priority="717" operator="equal">
      <formula>"error"</formula>
    </cfRule>
  </conditionalFormatting>
  <conditionalFormatting sqref="J12:N12">
    <cfRule type="cellIs" dxfId="311" priority="710" operator="equal">
      <formula>"Both"</formula>
    </cfRule>
    <cfRule type="cellIs" dxfId="310" priority="711" operator="equal">
      <formula>$M$3</formula>
    </cfRule>
    <cfRule type="cellIs" dxfId="309" priority="712" operator="equal">
      <formula>$M$2</formula>
    </cfRule>
    <cfRule type="expression" dxfId="308" priority="715">
      <formula>J13=""</formula>
    </cfRule>
  </conditionalFormatting>
  <conditionalFormatting sqref="N12">
    <cfRule type="cellIs" dxfId="307" priority="708" operator="equal">
      <formula>"error"</formula>
    </cfRule>
  </conditionalFormatting>
  <conditionalFormatting sqref="J12:M12">
    <cfRule type="cellIs" dxfId="306" priority="707" operator="equal">
      <formula>"error"</formula>
    </cfRule>
  </conditionalFormatting>
  <conditionalFormatting sqref="J10:N10">
    <cfRule type="cellIs" dxfId="305" priority="700" operator="equal">
      <formula>"Both"</formula>
    </cfRule>
    <cfRule type="cellIs" dxfId="304" priority="701" operator="equal">
      <formula>$M$3</formula>
    </cfRule>
    <cfRule type="cellIs" dxfId="303" priority="702" operator="equal">
      <formula>$M$2</formula>
    </cfRule>
    <cfRule type="expression" dxfId="302" priority="705">
      <formula>J11=""</formula>
    </cfRule>
  </conditionalFormatting>
  <conditionalFormatting sqref="N10">
    <cfRule type="cellIs" dxfId="301" priority="698" operator="equal">
      <formula>"error"</formula>
    </cfRule>
  </conditionalFormatting>
  <conditionalFormatting sqref="J10:M10">
    <cfRule type="cellIs" dxfId="300" priority="697" operator="equal">
      <formula>"error"</formula>
    </cfRule>
  </conditionalFormatting>
  <conditionalFormatting sqref="J8:N8">
    <cfRule type="cellIs" dxfId="299" priority="690" operator="equal">
      <formula>"Both"</formula>
    </cfRule>
    <cfRule type="cellIs" dxfId="298" priority="691" operator="equal">
      <formula>$M$3</formula>
    </cfRule>
    <cfRule type="cellIs" dxfId="297" priority="692" operator="equal">
      <formula>$M$2</formula>
    </cfRule>
    <cfRule type="expression" dxfId="296" priority="695">
      <formula>J9=""</formula>
    </cfRule>
  </conditionalFormatting>
  <conditionalFormatting sqref="N8">
    <cfRule type="cellIs" dxfId="295" priority="688" operator="equal">
      <formula>"error"</formula>
    </cfRule>
  </conditionalFormatting>
  <conditionalFormatting sqref="J8:M8">
    <cfRule type="cellIs" dxfId="294" priority="687" operator="equal">
      <formula>"error"</formula>
    </cfRule>
  </conditionalFormatting>
  <conditionalFormatting sqref="J6:N6">
    <cfRule type="cellIs" dxfId="293" priority="680" operator="equal">
      <formula>"Both"</formula>
    </cfRule>
    <cfRule type="cellIs" dxfId="292" priority="681" operator="equal">
      <formula>$M$3</formula>
    </cfRule>
    <cfRule type="cellIs" dxfId="291" priority="682" operator="equal">
      <formula>$M$2</formula>
    </cfRule>
    <cfRule type="expression" dxfId="290" priority="685">
      <formula>J7=""</formula>
    </cfRule>
  </conditionalFormatting>
  <conditionalFormatting sqref="N6">
    <cfRule type="cellIs" dxfId="289" priority="678" operator="equal">
      <formula>"error"</formula>
    </cfRule>
  </conditionalFormatting>
  <conditionalFormatting sqref="J6:M6">
    <cfRule type="cellIs" dxfId="288" priority="677" operator="equal">
      <formula>"error"</formula>
    </cfRule>
  </conditionalFormatting>
  <conditionalFormatting sqref="Q14:U14">
    <cfRule type="cellIs" dxfId="287" priority="620" operator="equal">
      <formula>"Both"</formula>
    </cfRule>
    <cfRule type="cellIs" dxfId="286" priority="621" operator="equal">
      <formula>$M$3</formula>
    </cfRule>
    <cfRule type="cellIs" dxfId="285" priority="622" operator="equal">
      <formula>$M$2</formula>
    </cfRule>
    <cfRule type="expression" dxfId="284" priority="625">
      <formula>Q15=""</formula>
    </cfRule>
  </conditionalFormatting>
  <conditionalFormatting sqref="U14">
    <cfRule type="cellIs" dxfId="283" priority="618" operator="equal">
      <formula>"error"</formula>
    </cfRule>
  </conditionalFormatting>
  <conditionalFormatting sqref="Q14:T14">
    <cfRule type="cellIs" dxfId="282" priority="617" operator="equal">
      <formula>"error"</formula>
    </cfRule>
  </conditionalFormatting>
  <conditionalFormatting sqref="Q12:U12">
    <cfRule type="cellIs" dxfId="281" priority="610" operator="equal">
      <formula>"Both"</formula>
    </cfRule>
    <cfRule type="cellIs" dxfId="280" priority="611" operator="equal">
      <formula>$M$3</formula>
    </cfRule>
    <cfRule type="cellIs" dxfId="279" priority="612" operator="equal">
      <formula>$M$2</formula>
    </cfRule>
    <cfRule type="expression" dxfId="278" priority="615">
      <formula>Q13=""</formula>
    </cfRule>
  </conditionalFormatting>
  <conditionalFormatting sqref="U12">
    <cfRule type="cellIs" dxfId="277" priority="608" operator="equal">
      <formula>"error"</formula>
    </cfRule>
  </conditionalFormatting>
  <conditionalFormatting sqref="Q12:T12">
    <cfRule type="cellIs" dxfId="276" priority="607" operator="equal">
      <formula>"error"</formula>
    </cfRule>
  </conditionalFormatting>
  <conditionalFormatting sqref="Q10:U10">
    <cfRule type="cellIs" dxfId="275" priority="600" operator="equal">
      <formula>"Both"</formula>
    </cfRule>
    <cfRule type="cellIs" dxfId="274" priority="601" operator="equal">
      <formula>$M$3</formula>
    </cfRule>
    <cfRule type="cellIs" dxfId="273" priority="602" operator="equal">
      <formula>$M$2</formula>
    </cfRule>
    <cfRule type="expression" dxfId="272" priority="605">
      <formula>Q11=""</formula>
    </cfRule>
  </conditionalFormatting>
  <conditionalFormatting sqref="U10">
    <cfRule type="cellIs" dxfId="271" priority="598" operator="equal">
      <formula>"error"</formula>
    </cfRule>
  </conditionalFormatting>
  <conditionalFormatting sqref="Q10:T10">
    <cfRule type="cellIs" dxfId="270" priority="597" operator="equal">
      <formula>"error"</formula>
    </cfRule>
  </conditionalFormatting>
  <conditionalFormatting sqref="Q8:U8">
    <cfRule type="cellIs" dxfId="269" priority="590" operator="equal">
      <formula>"Both"</formula>
    </cfRule>
    <cfRule type="cellIs" dxfId="268" priority="591" operator="equal">
      <formula>$M$3</formula>
    </cfRule>
    <cfRule type="cellIs" dxfId="267" priority="592" operator="equal">
      <formula>$M$2</formula>
    </cfRule>
    <cfRule type="expression" dxfId="266" priority="595">
      <formula>Q9=""</formula>
    </cfRule>
  </conditionalFormatting>
  <conditionalFormatting sqref="U8">
    <cfRule type="cellIs" dxfId="265" priority="588" operator="equal">
      <formula>"error"</formula>
    </cfRule>
  </conditionalFormatting>
  <conditionalFormatting sqref="Q8:T8">
    <cfRule type="cellIs" dxfId="264" priority="587" operator="equal">
      <formula>"error"</formula>
    </cfRule>
  </conditionalFormatting>
  <conditionalFormatting sqref="Q6:U6">
    <cfRule type="cellIs" dxfId="263" priority="580" operator="equal">
      <formula>"Both"</formula>
    </cfRule>
    <cfRule type="cellIs" dxfId="262" priority="581" operator="equal">
      <formula>$M$3</formula>
    </cfRule>
    <cfRule type="cellIs" dxfId="261" priority="582" operator="equal">
      <formula>$M$2</formula>
    </cfRule>
    <cfRule type="expression" dxfId="260" priority="585">
      <formula>Q7=""</formula>
    </cfRule>
  </conditionalFormatting>
  <conditionalFormatting sqref="U6">
    <cfRule type="cellIs" dxfId="259" priority="578" operator="equal">
      <formula>"error"</formula>
    </cfRule>
  </conditionalFormatting>
  <conditionalFormatting sqref="Q6:T6">
    <cfRule type="cellIs" dxfId="258" priority="577" operator="equal">
      <formula>"error"</formula>
    </cfRule>
  </conditionalFormatting>
  <conditionalFormatting sqref="Q25:U25">
    <cfRule type="cellIs" dxfId="257" priority="520" operator="equal">
      <formula>"Both"</formula>
    </cfRule>
    <cfRule type="cellIs" dxfId="256" priority="521" operator="equal">
      <formula>$M$3</formula>
    </cfRule>
    <cfRule type="cellIs" dxfId="255" priority="522" operator="equal">
      <formula>$M$2</formula>
    </cfRule>
    <cfRule type="expression" dxfId="254" priority="525">
      <formula>Q26=""</formula>
    </cfRule>
  </conditionalFormatting>
  <conditionalFormatting sqref="U25">
    <cfRule type="cellIs" dxfId="253" priority="518" operator="equal">
      <formula>"error"</formula>
    </cfRule>
  </conditionalFormatting>
  <conditionalFormatting sqref="Q25:T25">
    <cfRule type="cellIs" dxfId="252" priority="517" operator="equal">
      <formula>"error"</formula>
    </cfRule>
  </conditionalFormatting>
  <conditionalFormatting sqref="Q23:U23">
    <cfRule type="cellIs" dxfId="251" priority="510" operator="equal">
      <formula>"Both"</formula>
    </cfRule>
    <cfRule type="cellIs" dxfId="250" priority="511" operator="equal">
      <formula>$M$3</formula>
    </cfRule>
    <cfRule type="cellIs" dxfId="249" priority="512" operator="equal">
      <formula>$M$2</formula>
    </cfRule>
    <cfRule type="expression" dxfId="248" priority="515">
      <formula>Q24=""</formula>
    </cfRule>
  </conditionalFormatting>
  <conditionalFormatting sqref="U23">
    <cfRule type="cellIs" dxfId="247" priority="508" operator="equal">
      <formula>"error"</formula>
    </cfRule>
  </conditionalFormatting>
  <conditionalFormatting sqref="Q23:T23">
    <cfRule type="cellIs" dxfId="246" priority="507" operator="equal">
      <formula>"error"</formula>
    </cfRule>
  </conditionalFormatting>
  <conditionalFormatting sqref="Q21:U21">
    <cfRule type="cellIs" dxfId="245" priority="500" operator="equal">
      <formula>"Both"</formula>
    </cfRule>
    <cfRule type="cellIs" dxfId="244" priority="501" operator="equal">
      <formula>$M$3</formula>
    </cfRule>
    <cfRule type="cellIs" dxfId="243" priority="502" operator="equal">
      <formula>$M$2</formula>
    </cfRule>
    <cfRule type="expression" dxfId="242" priority="505">
      <formula>Q22=""</formula>
    </cfRule>
  </conditionalFormatting>
  <conditionalFormatting sqref="U21">
    <cfRule type="cellIs" dxfId="241" priority="498" operator="equal">
      <formula>"error"</formula>
    </cfRule>
  </conditionalFormatting>
  <conditionalFormatting sqref="Q21:T21">
    <cfRule type="cellIs" dxfId="240" priority="497" operator="equal">
      <formula>"error"</formula>
    </cfRule>
  </conditionalFormatting>
  <conditionalFormatting sqref="Q19:U19">
    <cfRule type="cellIs" dxfId="239" priority="490" operator="equal">
      <formula>"Both"</formula>
    </cfRule>
    <cfRule type="cellIs" dxfId="238" priority="491" operator="equal">
      <formula>$M$3</formula>
    </cfRule>
    <cfRule type="cellIs" dxfId="237" priority="492" operator="equal">
      <formula>$M$2</formula>
    </cfRule>
    <cfRule type="expression" dxfId="236" priority="495">
      <formula>Q20=""</formula>
    </cfRule>
  </conditionalFormatting>
  <conditionalFormatting sqref="U19">
    <cfRule type="cellIs" dxfId="235" priority="488" operator="equal">
      <formula>"error"</formula>
    </cfRule>
  </conditionalFormatting>
  <conditionalFormatting sqref="Q19:T19">
    <cfRule type="cellIs" dxfId="234" priority="487" operator="equal">
      <formula>"error"</formula>
    </cfRule>
  </conditionalFormatting>
  <conditionalFormatting sqref="Q17:U17">
    <cfRule type="cellIs" dxfId="233" priority="480" operator="equal">
      <formula>"Both"</formula>
    </cfRule>
    <cfRule type="cellIs" dxfId="232" priority="481" operator="equal">
      <formula>$M$3</formula>
    </cfRule>
    <cfRule type="cellIs" dxfId="231" priority="482" operator="equal">
      <formula>$M$2</formula>
    </cfRule>
    <cfRule type="expression" dxfId="230" priority="485">
      <formula>Q18=""</formula>
    </cfRule>
  </conditionalFormatting>
  <conditionalFormatting sqref="U17">
    <cfRule type="cellIs" dxfId="229" priority="478" operator="equal">
      <formula>"error"</formula>
    </cfRule>
  </conditionalFormatting>
  <conditionalFormatting sqref="Q17:T17">
    <cfRule type="cellIs" dxfId="228" priority="477" operator="equal">
      <formula>"error"</formula>
    </cfRule>
  </conditionalFormatting>
  <conditionalFormatting sqref="Q36:U36">
    <cfRule type="cellIs" dxfId="227" priority="420" operator="equal">
      <formula>"Both"</formula>
    </cfRule>
    <cfRule type="cellIs" dxfId="226" priority="421" operator="equal">
      <formula>$M$3</formula>
    </cfRule>
    <cfRule type="cellIs" dxfId="225" priority="422" operator="equal">
      <formula>$M$2</formula>
    </cfRule>
    <cfRule type="expression" dxfId="224" priority="425">
      <formula>Q37=""</formula>
    </cfRule>
  </conditionalFormatting>
  <conditionalFormatting sqref="U36">
    <cfRule type="cellIs" dxfId="223" priority="418" operator="equal">
      <formula>"error"</formula>
    </cfRule>
  </conditionalFormatting>
  <conditionalFormatting sqref="Q36:T36">
    <cfRule type="cellIs" dxfId="222" priority="417" operator="equal">
      <formula>"error"</formula>
    </cfRule>
  </conditionalFormatting>
  <conditionalFormatting sqref="Q34:U34">
    <cfRule type="cellIs" dxfId="221" priority="410" operator="equal">
      <formula>"Both"</formula>
    </cfRule>
    <cfRule type="cellIs" dxfId="220" priority="411" operator="equal">
      <formula>$M$3</formula>
    </cfRule>
    <cfRule type="cellIs" dxfId="219" priority="412" operator="equal">
      <formula>$M$2</formula>
    </cfRule>
    <cfRule type="expression" dxfId="218" priority="415">
      <formula>Q35=""</formula>
    </cfRule>
  </conditionalFormatting>
  <conditionalFormatting sqref="U34">
    <cfRule type="cellIs" dxfId="217" priority="408" operator="equal">
      <formula>"error"</formula>
    </cfRule>
  </conditionalFormatting>
  <conditionalFormatting sqref="Q34:T34">
    <cfRule type="cellIs" dxfId="216" priority="407" operator="equal">
      <formula>"error"</formula>
    </cfRule>
  </conditionalFormatting>
  <conditionalFormatting sqref="Q32:U32">
    <cfRule type="cellIs" dxfId="215" priority="400" operator="equal">
      <formula>"Both"</formula>
    </cfRule>
    <cfRule type="cellIs" dxfId="214" priority="401" operator="equal">
      <formula>$M$3</formula>
    </cfRule>
    <cfRule type="cellIs" dxfId="213" priority="402" operator="equal">
      <formula>$M$2</formula>
    </cfRule>
    <cfRule type="expression" dxfId="212" priority="405">
      <formula>Q33=""</formula>
    </cfRule>
  </conditionalFormatting>
  <conditionalFormatting sqref="U32">
    <cfRule type="cellIs" dxfId="211" priority="398" operator="equal">
      <formula>"error"</formula>
    </cfRule>
  </conditionalFormatting>
  <conditionalFormatting sqref="Q32:T32">
    <cfRule type="cellIs" dxfId="210" priority="397" operator="equal">
      <formula>"error"</formula>
    </cfRule>
  </conditionalFormatting>
  <conditionalFormatting sqref="Q30:U30">
    <cfRule type="cellIs" dxfId="209" priority="390" operator="equal">
      <formula>"Both"</formula>
    </cfRule>
    <cfRule type="cellIs" dxfId="208" priority="391" operator="equal">
      <formula>$M$3</formula>
    </cfRule>
    <cfRule type="cellIs" dxfId="207" priority="392" operator="equal">
      <formula>$M$2</formula>
    </cfRule>
    <cfRule type="expression" dxfId="206" priority="395">
      <formula>Q31=""</formula>
    </cfRule>
  </conditionalFormatting>
  <conditionalFormatting sqref="U30">
    <cfRule type="cellIs" dxfId="205" priority="388" operator="equal">
      <formula>"error"</formula>
    </cfRule>
  </conditionalFormatting>
  <conditionalFormatting sqref="Q30:T30">
    <cfRule type="cellIs" dxfId="204" priority="387" operator="equal">
      <formula>"error"</formula>
    </cfRule>
  </conditionalFormatting>
  <conditionalFormatting sqref="Q28:U28">
    <cfRule type="cellIs" dxfId="203" priority="380" operator="equal">
      <formula>"Both"</formula>
    </cfRule>
    <cfRule type="cellIs" dxfId="202" priority="381" operator="equal">
      <formula>$M$3</formula>
    </cfRule>
    <cfRule type="cellIs" dxfId="201" priority="382" operator="equal">
      <formula>$M$2</formula>
    </cfRule>
    <cfRule type="expression" dxfId="200" priority="385">
      <formula>Q29=""</formula>
    </cfRule>
  </conditionalFormatting>
  <conditionalFormatting sqref="U28">
    <cfRule type="cellIs" dxfId="199" priority="378" operator="equal">
      <formula>"error"</formula>
    </cfRule>
  </conditionalFormatting>
  <conditionalFormatting sqref="Q28:T28">
    <cfRule type="cellIs" dxfId="198" priority="377" operator="equal">
      <formula>"error"</formula>
    </cfRule>
  </conditionalFormatting>
  <conditionalFormatting sqref="X14:AB14">
    <cfRule type="cellIs" dxfId="197" priority="320" operator="equal">
      <formula>"Both"</formula>
    </cfRule>
    <cfRule type="cellIs" dxfId="196" priority="321" operator="equal">
      <formula>$M$3</formula>
    </cfRule>
    <cfRule type="cellIs" dxfId="195" priority="322" operator="equal">
      <formula>$M$2</formula>
    </cfRule>
    <cfRule type="expression" dxfId="194" priority="325">
      <formula>X15=""</formula>
    </cfRule>
  </conditionalFormatting>
  <conditionalFormatting sqref="AB14">
    <cfRule type="cellIs" dxfId="193" priority="318" operator="equal">
      <formula>"error"</formula>
    </cfRule>
  </conditionalFormatting>
  <conditionalFormatting sqref="X14:AA14">
    <cfRule type="cellIs" dxfId="192" priority="317" operator="equal">
      <formula>"error"</formula>
    </cfRule>
  </conditionalFormatting>
  <conditionalFormatting sqref="X12:AB12">
    <cfRule type="cellIs" dxfId="191" priority="310" operator="equal">
      <formula>"Both"</formula>
    </cfRule>
    <cfRule type="cellIs" dxfId="190" priority="311" operator="equal">
      <formula>$M$3</formula>
    </cfRule>
    <cfRule type="cellIs" dxfId="189" priority="312" operator="equal">
      <formula>$M$2</formula>
    </cfRule>
    <cfRule type="expression" dxfId="188" priority="315">
      <formula>X13=""</formula>
    </cfRule>
  </conditionalFormatting>
  <conditionalFormatting sqref="AB12">
    <cfRule type="cellIs" dxfId="187" priority="308" operator="equal">
      <formula>"error"</formula>
    </cfRule>
  </conditionalFormatting>
  <conditionalFormatting sqref="X12:AA12">
    <cfRule type="cellIs" dxfId="186" priority="307" operator="equal">
      <formula>"error"</formula>
    </cfRule>
  </conditionalFormatting>
  <conditionalFormatting sqref="X10:AB10">
    <cfRule type="cellIs" dxfId="185" priority="300" operator="equal">
      <formula>"Both"</formula>
    </cfRule>
    <cfRule type="cellIs" dxfId="184" priority="301" operator="equal">
      <formula>$M$3</formula>
    </cfRule>
    <cfRule type="cellIs" dxfId="183" priority="302" operator="equal">
      <formula>$M$2</formula>
    </cfRule>
    <cfRule type="expression" dxfId="182" priority="305">
      <formula>X11=""</formula>
    </cfRule>
  </conditionalFormatting>
  <conditionalFormatting sqref="AB10">
    <cfRule type="cellIs" dxfId="181" priority="298" operator="equal">
      <formula>"error"</formula>
    </cfRule>
  </conditionalFormatting>
  <conditionalFormatting sqref="X10:AA10">
    <cfRule type="cellIs" dxfId="180" priority="297" operator="equal">
      <formula>"error"</formula>
    </cfRule>
  </conditionalFormatting>
  <conditionalFormatting sqref="X8:AB8">
    <cfRule type="cellIs" dxfId="179" priority="290" operator="equal">
      <formula>"Both"</formula>
    </cfRule>
    <cfRule type="cellIs" dxfId="178" priority="291" operator="equal">
      <formula>$M$3</formula>
    </cfRule>
    <cfRule type="cellIs" dxfId="177" priority="292" operator="equal">
      <formula>$M$2</formula>
    </cfRule>
    <cfRule type="expression" dxfId="176" priority="295">
      <formula>X9=""</formula>
    </cfRule>
  </conditionalFormatting>
  <conditionalFormatting sqref="AB8">
    <cfRule type="cellIs" dxfId="175" priority="288" operator="equal">
      <formula>"error"</formula>
    </cfRule>
  </conditionalFormatting>
  <conditionalFormatting sqref="X8:AA8">
    <cfRule type="cellIs" dxfId="174" priority="287" operator="equal">
      <formula>"error"</formula>
    </cfRule>
  </conditionalFormatting>
  <conditionalFormatting sqref="X6:AB6">
    <cfRule type="cellIs" dxfId="173" priority="280" operator="equal">
      <formula>"Both"</formula>
    </cfRule>
    <cfRule type="cellIs" dxfId="172" priority="281" operator="equal">
      <formula>$M$3</formula>
    </cfRule>
    <cfRule type="cellIs" dxfId="171" priority="282" operator="equal">
      <formula>$M$2</formula>
    </cfRule>
    <cfRule type="expression" dxfId="170" priority="285">
      <formula>X7=""</formula>
    </cfRule>
  </conditionalFormatting>
  <conditionalFormatting sqref="AB6">
    <cfRule type="cellIs" dxfId="169" priority="278" operator="equal">
      <formula>"error"</formula>
    </cfRule>
  </conditionalFormatting>
  <conditionalFormatting sqref="X6:AA6">
    <cfRule type="cellIs" dxfId="168" priority="277" operator="equal">
      <formula>"error"</formula>
    </cfRule>
  </conditionalFormatting>
  <conditionalFormatting sqref="X25:AB25">
    <cfRule type="cellIs" dxfId="167" priority="220" operator="equal">
      <formula>"Both"</formula>
    </cfRule>
    <cfRule type="cellIs" dxfId="166" priority="221" operator="equal">
      <formula>$M$3</formula>
    </cfRule>
    <cfRule type="cellIs" dxfId="165" priority="222" operator="equal">
      <formula>$M$2</formula>
    </cfRule>
    <cfRule type="expression" dxfId="164" priority="225">
      <formula>X26=""</formula>
    </cfRule>
  </conditionalFormatting>
  <conditionalFormatting sqref="AB25">
    <cfRule type="cellIs" dxfId="163" priority="218" operator="equal">
      <formula>"error"</formula>
    </cfRule>
  </conditionalFormatting>
  <conditionalFormatting sqref="X25:AA25">
    <cfRule type="cellIs" dxfId="162" priority="217" operator="equal">
      <formula>"error"</formula>
    </cfRule>
  </conditionalFormatting>
  <conditionalFormatting sqref="X23:AB23">
    <cfRule type="cellIs" dxfId="161" priority="210" operator="equal">
      <formula>"Both"</formula>
    </cfRule>
    <cfRule type="cellIs" dxfId="160" priority="211" operator="equal">
      <formula>$M$3</formula>
    </cfRule>
    <cfRule type="cellIs" dxfId="159" priority="212" operator="equal">
      <formula>$M$2</formula>
    </cfRule>
    <cfRule type="expression" dxfId="158" priority="215">
      <formula>X24=""</formula>
    </cfRule>
  </conditionalFormatting>
  <conditionalFormatting sqref="AB23">
    <cfRule type="cellIs" dxfId="157" priority="208" operator="equal">
      <formula>"error"</formula>
    </cfRule>
  </conditionalFormatting>
  <conditionalFormatting sqref="X23:AA23">
    <cfRule type="cellIs" dxfId="156" priority="207" operator="equal">
      <formula>"error"</formula>
    </cfRule>
  </conditionalFormatting>
  <conditionalFormatting sqref="X21:AB21">
    <cfRule type="cellIs" dxfId="155" priority="200" operator="equal">
      <formula>"Both"</formula>
    </cfRule>
    <cfRule type="cellIs" dxfId="154" priority="201" operator="equal">
      <formula>$M$3</formula>
    </cfRule>
    <cfRule type="cellIs" dxfId="153" priority="202" operator="equal">
      <formula>$M$2</formula>
    </cfRule>
    <cfRule type="expression" dxfId="152" priority="205">
      <formula>X22=""</formula>
    </cfRule>
  </conditionalFormatting>
  <conditionalFormatting sqref="AB21">
    <cfRule type="cellIs" dxfId="151" priority="198" operator="equal">
      <formula>"error"</formula>
    </cfRule>
  </conditionalFormatting>
  <conditionalFormatting sqref="X21:AA21">
    <cfRule type="cellIs" dxfId="150" priority="197" operator="equal">
      <formula>"error"</formula>
    </cfRule>
  </conditionalFormatting>
  <conditionalFormatting sqref="X19:AB19">
    <cfRule type="cellIs" dxfId="149" priority="190" operator="equal">
      <formula>"Both"</formula>
    </cfRule>
    <cfRule type="cellIs" dxfId="148" priority="191" operator="equal">
      <formula>$M$3</formula>
    </cfRule>
    <cfRule type="cellIs" dxfId="147" priority="192" operator="equal">
      <formula>$M$2</formula>
    </cfRule>
    <cfRule type="expression" dxfId="146" priority="195">
      <formula>X20=""</formula>
    </cfRule>
  </conditionalFormatting>
  <conditionalFormatting sqref="AB19">
    <cfRule type="cellIs" dxfId="145" priority="188" operator="equal">
      <formula>"error"</formula>
    </cfRule>
  </conditionalFormatting>
  <conditionalFormatting sqref="X19:AA19">
    <cfRule type="cellIs" dxfId="144" priority="187" operator="equal">
      <formula>"error"</formula>
    </cfRule>
  </conditionalFormatting>
  <conditionalFormatting sqref="X17:AB17">
    <cfRule type="cellIs" dxfId="143" priority="180" operator="equal">
      <formula>"Both"</formula>
    </cfRule>
    <cfRule type="cellIs" dxfId="142" priority="181" operator="equal">
      <formula>$M$3</formula>
    </cfRule>
    <cfRule type="cellIs" dxfId="141" priority="182" operator="equal">
      <formula>$M$2</formula>
    </cfRule>
    <cfRule type="expression" dxfId="140" priority="185">
      <formula>X18=""</formula>
    </cfRule>
  </conditionalFormatting>
  <conditionalFormatting sqref="AB17">
    <cfRule type="cellIs" dxfId="139" priority="178" operator="equal">
      <formula>"error"</formula>
    </cfRule>
  </conditionalFormatting>
  <conditionalFormatting sqref="X17:AA17">
    <cfRule type="cellIs" dxfId="138" priority="177" operator="equal">
      <formula>"error"</formula>
    </cfRule>
  </conditionalFormatting>
  <conditionalFormatting sqref="X36:AB36">
    <cfRule type="cellIs" dxfId="137" priority="120" operator="equal">
      <formula>"Both"</formula>
    </cfRule>
    <cfRule type="cellIs" dxfId="136" priority="121" operator="equal">
      <formula>$M$3</formula>
    </cfRule>
    <cfRule type="cellIs" dxfId="135" priority="122" operator="equal">
      <formula>$M$2</formula>
    </cfRule>
    <cfRule type="expression" dxfId="134" priority="125">
      <formula>X37=""</formula>
    </cfRule>
  </conditionalFormatting>
  <conditionalFormatting sqref="AB36">
    <cfRule type="cellIs" dxfId="133" priority="118" operator="equal">
      <formula>"error"</formula>
    </cfRule>
  </conditionalFormatting>
  <conditionalFormatting sqref="X36:AA36">
    <cfRule type="cellIs" dxfId="132" priority="117" operator="equal">
      <formula>"error"</formula>
    </cfRule>
  </conditionalFormatting>
  <conditionalFormatting sqref="X34:AB34">
    <cfRule type="cellIs" dxfId="131" priority="110" operator="equal">
      <formula>"Both"</formula>
    </cfRule>
    <cfRule type="cellIs" dxfId="130" priority="111" operator="equal">
      <formula>$M$3</formula>
    </cfRule>
    <cfRule type="cellIs" dxfId="129" priority="112" operator="equal">
      <formula>$M$2</formula>
    </cfRule>
    <cfRule type="expression" dxfId="128" priority="115">
      <formula>X35=""</formula>
    </cfRule>
  </conditionalFormatting>
  <conditionalFormatting sqref="AB34">
    <cfRule type="cellIs" dxfId="127" priority="108" operator="equal">
      <formula>"error"</formula>
    </cfRule>
  </conditionalFormatting>
  <conditionalFormatting sqref="X34:AA34">
    <cfRule type="cellIs" dxfId="126" priority="107" operator="equal">
      <formula>"error"</formula>
    </cfRule>
  </conditionalFormatting>
  <conditionalFormatting sqref="X32:AB32">
    <cfRule type="cellIs" dxfId="125" priority="100" operator="equal">
      <formula>"Both"</formula>
    </cfRule>
    <cfRule type="cellIs" dxfId="124" priority="101" operator="equal">
      <formula>$M$3</formula>
    </cfRule>
    <cfRule type="cellIs" dxfId="123" priority="102" operator="equal">
      <formula>$M$2</formula>
    </cfRule>
    <cfRule type="expression" dxfId="122" priority="105">
      <formula>X33=""</formula>
    </cfRule>
  </conditionalFormatting>
  <conditionalFormatting sqref="AB32">
    <cfRule type="cellIs" dxfId="121" priority="98" operator="equal">
      <formula>"error"</formula>
    </cfRule>
  </conditionalFormatting>
  <conditionalFormatting sqref="X32:AA32">
    <cfRule type="cellIs" dxfId="120" priority="97" operator="equal">
      <formula>"error"</formula>
    </cfRule>
  </conditionalFormatting>
  <conditionalFormatting sqref="X30:AB30">
    <cfRule type="cellIs" dxfId="119" priority="90" operator="equal">
      <formula>"Both"</formula>
    </cfRule>
    <cfRule type="cellIs" dxfId="118" priority="91" operator="equal">
      <formula>$M$3</formula>
    </cfRule>
    <cfRule type="cellIs" dxfId="117" priority="92" operator="equal">
      <formula>$M$2</formula>
    </cfRule>
    <cfRule type="expression" dxfId="116" priority="95">
      <formula>X31=""</formula>
    </cfRule>
  </conditionalFormatting>
  <conditionalFormatting sqref="AB30">
    <cfRule type="cellIs" dxfId="115" priority="88" operator="equal">
      <formula>"error"</formula>
    </cfRule>
  </conditionalFormatting>
  <conditionalFormatting sqref="X30:AA30">
    <cfRule type="cellIs" dxfId="114" priority="87" operator="equal">
      <formula>"error"</formula>
    </cfRule>
  </conditionalFormatting>
  <conditionalFormatting sqref="X28:AB28">
    <cfRule type="cellIs" dxfId="113" priority="80" operator="equal">
      <formula>"Both"</formula>
    </cfRule>
    <cfRule type="cellIs" dxfId="112" priority="81" operator="equal">
      <formula>$M$3</formula>
    </cfRule>
    <cfRule type="cellIs" dxfId="111" priority="82" operator="equal">
      <formula>$M$2</formula>
    </cfRule>
    <cfRule type="expression" dxfId="110" priority="85">
      <formula>X29=""</formula>
    </cfRule>
  </conditionalFormatting>
  <conditionalFormatting sqref="AB28">
    <cfRule type="cellIs" dxfId="109" priority="78" operator="equal">
      <formula>"error"</formula>
    </cfRule>
  </conditionalFormatting>
  <conditionalFormatting sqref="X28:AA28">
    <cfRule type="cellIs" dxfId="108" priority="77" operator="equal">
      <formula>"error"</formula>
    </cfRule>
  </conditionalFormatting>
  <conditionalFormatting sqref="Q34:U34">
    <cfRule type="cellIs" dxfId="107" priority="21" operator="equal">
      <formula>"Both"</formula>
    </cfRule>
    <cfRule type="cellIs" dxfId="106" priority="22" operator="equal">
      <formula>$M$3</formula>
    </cfRule>
    <cfRule type="cellIs" dxfId="105" priority="23" operator="equal">
      <formula>$M$2</formula>
    </cfRule>
    <cfRule type="expression" dxfId="104" priority="24">
      <formula>Q35=""</formula>
    </cfRule>
  </conditionalFormatting>
  <conditionalFormatting sqref="U34">
    <cfRule type="cellIs" dxfId="103" priority="20" operator="equal">
      <formula>"error"</formula>
    </cfRule>
  </conditionalFormatting>
  <conditionalFormatting sqref="Q34:T34">
    <cfRule type="cellIs" dxfId="102" priority="19" operator="equal">
      <formula>"error"</formula>
    </cfRule>
  </conditionalFormatting>
  <conditionalFormatting sqref="Q32:U32">
    <cfRule type="cellIs" dxfId="101" priority="15" operator="equal">
      <formula>"Both"</formula>
    </cfRule>
    <cfRule type="cellIs" dxfId="100" priority="16" operator="equal">
      <formula>$M$3</formula>
    </cfRule>
    <cfRule type="cellIs" dxfId="99" priority="17" operator="equal">
      <formula>$M$2</formula>
    </cfRule>
    <cfRule type="expression" dxfId="98" priority="18">
      <formula>Q33=""</formula>
    </cfRule>
  </conditionalFormatting>
  <conditionalFormatting sqref="U32">
    <cfRule type="cellIs" dxfId="97" priority="14" operator="equal">
      <formula>"error"</formula>
    </cfRule>
  </conditionalFormatting>
  <conditionalFormatting sqref="Q32:T32">
    <cfRule type="cellIs" dxfId="96" priority="13" operator="equal">
      <formula>"error"</formula>
    </cfRule>
  </conditionalFormatting>
  <conditionalFormatting sqref="Q30:U30">
    <cfRule type="cellIs" dxfId="95" priority="9" operator="equal">
      <formula>"Both"</formula>
    </cfRule>
    <cfRule type="cellIs" dxfId="94" priority="10" operator="equal">
      <formula>$M$3</formula>
    </cfRule>
    <cfRule type="cellIs" dxfId="93" priority="11" operator="equal">
      <formula>$M$2</formula>
    </cfRule>
    <cfRule type="expression" dxfId="92" priority="12">
      <formula>Q31=""</formula>
    </cfRule>
  </conditionalFormatting>
  <conditionalFormatting sqref="U30">
    <cfRule type="cellIs" dxfId="91" priority="8" operator="equal">
      <formula>"error"</formula>
    </cfRule>
  </conditionalFormatting>
  <conditionalFormatting sqref="Q30:T30">
    <cfRule type="cellIs" dxfId="90" priority="7" operator="equal">
      <formula>"error"</formula>
    </cfRule>
  </conditionalFormatting>
  <conditionalFormatting sqref="Q28:U28">
    <cfRule type="cellIs" dxfId="89" priority="3" operator="equal">
      <formula>"Both"</formula>
    </cfRule>
    <cfRule type="cellIs" dxfId="88" priority="4" operator="equal">
      <formula>$M$3</formula>
    </cfRule>
    <cfRule type="cellIs" dxfId="87" priority="5" operator="equal">
      <formula>$M$2</formula>
    </cfRule>
    <cfRule type="expression" dxfId="86" priority="6">
      <formula>Q29=""</formula>
    </cfRule>
  </conditionalFormatting>
  <conditionalFormatting sqref="U28">
    <cfRule type="cellIs" dxfId="85" priority="2" operator="equal">
      <formula>"error"</formula>
    </cfRule>
  </conditionalFormatting>
  <conditionalFormatting sqref="Q28:T28">
    <cfRule type="cellIs" dxfId="84" priority="1" operator="equal">
      <formula>"error"</formula>
    </cfRule>
  </conditionalFormatting>
  <dataValidations disablePrompts="1" count="1">
    <dataValidation type="decimal" allowBlank="1" showInputMessage="1" showErrorMessage="1" sqref="M42" xr:uid="{00000000-0002-0000-0300-000000000000}">
      <formula1>0</formula1>
      <formula2>8</formula2>
    </dataValidation>
  </dataValidations>
  <printOptions horizontalCentered="1" verticalCentered="1"/>
  <pageMargins left="0.7" right="0.7" top="0.75" bottom="0.75" header="0.3" footer="0.3"/>
  <pageSetup scale="53" orientation="landscape" r:id="rId1"/>
  <headerFooter>
    <oddHeader xml:space="preserve">&amp;L&amp;G&amp;C&amp;"-,Bold"&amp;14&amp;K04+000Job Share Calendar
&amp;K000000Combined &amp;R&amp;"Segoe UI,Bold"&amp;12 2024-2025 School Year&amp;K000000
&amp;K04+000
</oddHeader>
    <oddFooter>&amp;L&amp;"-,Bold"&amp;K04+000Human Resource Usage Only:&amp;"-,Regular"&amp;K01+000
__ Contract days balance        __ Skyward assignments match   
__ Calendar types updated    __ Notes&amp;C__ Uploaded to Google Doc                  __ Scanned in Employee File&amp;R&amp;D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20</xdr:col>
                    <xdr:colOff>485775</xdr:colOff>
                    <xdr:row>1</xdr:row>
                    <xdr:rowOff>238125</xdr:rowOff>
                  </from>
                  <to>
                    <xdr:col>22</xdr:col>
                    <xdr:colOff>190500</xdr:colOff>
                    <xdr:row>2</xdr:row>
                    <xdr:rowOff>28575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20</xdr:col>
                    <xdr:colOff>485775</xdr:colOff>
                    <xdr:row>1</xdr:row>
                    <xdr:rowOff>409575</xdr:rowOff>
                  </from>
                  <to>
                    <xdr:col>22</xdr:col>
                    <xdr:colOff>228600</xdr:colOff>
                    <xdr:row>2</xdr:row>
                    <xdr:rowOff>190500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485775</xdr:colOff>
                    <xdr:row>2</xdr:row>
                    <xdr:rowOff>152400</xdr:rowOff>
                  </from>
                  <to>
                    <xdr:col>22</xdr:col>
                    <xdr:colOff>228600</xdr:colOff>
                    <xdr:row>2</xdr:row>
                    <xdr:rowOff>352425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1652" operator="containsText" id="{7B81984F-264B-4671-85CB-5BDA6C4973A8}">
            <xm:f>NOT(ISERROR(SEARCH("û",AC42)))</xm:f>
            <xm:f>"û"</xm:f>
            <x14:dxf>
              <font>
                <color rgb="FFFF0000"/>
              </font>
            </x14:dxf>
          </x14:cfRule>
          <x14:cfRule type="containsText" priority="11653" operator="containsText" id="{41862AF5-6D0B-40A5-B30E-EBE0D8A4829E}">
            <xm:f>NOT(ISERROR(SEARCH("ü",AC42)))</xm:f>
            <xm:f>"ü"</xm:f>
            <x14:dxf>
              <font>
                <color theme="9" tint="-0.24994659260841701"/>
              </font>
            </x14:dxf>
          </x14:cfRule>
          <xm:sqref>AC42</xm:sqref>
        </x14:conditionalFormatting>
        <x14:conditionalFormatting xmlns:xm="http://schemas.microsoft.com/office/excel/2006/main">
          <x14:cfRule type="containsText" priority="11421" operator="containsText" id="{6E2904AC-8660-4C11-B5F0-9455C8B649CC}">
            <xm:f>NOT(ISERROR(SEARCH("û",AB44)))</xm:f>
            <xm:f>"û"</xm:f>
            <x14:dxf>
              <font>
                <color rgb="FFC00000"/>
              </font>
            </x14:dxf>
          </x14:cfRule>
          <x14:cfRule type="containsText" priority="11422" operator="containsText" id="{0F690579-15AE-4673-8B75-40890E4795FA}">
            <xm:f>NOT(ISERROR(SEARCH("ü",AB44)))</xm:f>
            <xm:f>"ü"</xm:f>
            <x14:dxf>
              <font>
                <color theme="9" tint="-0.24994659260841701"/>
              </font>
            </x14:dxf>
          </x14:cfRule>
          <xm:sqref>AB44</xm:sqref>
        </x14:conditionalFormatting>
        <x14:conditionalFormatting xmlns:xm="http://schemas.microsoft.com/office/excel/2006/main">
          <x14:cfRule type="expression" priority="26" id="{9CAB1D1F-7ACB-4AF8-88F7-C7037D52BAD5}">
            <xm:f>VLOOKUP(Q20,Calendars!$V$1:$AB$398,MATCH($P$1,Calendars!$V$1:$AB$1,0),FALSE)="HW"</xm:f>
            <x14:dxf>
              <fill>
                <patternFill>
                  <bgColor rgb="FF00B050"/>
                </patternFill>
              </fill>
            </x14:dxf>
          </x14:cfRule>
          <xm:sqref>Q20:U20</xm:sqref>
        </x14:conditionalFormatting>
        <x14:conditionalFormatting xmlns:xm="http://schemas.microsoft.com/office/excel/2006/main">
          <x14:cfRule type="expression" priority="25" id="{912B9E64-DEA3-4C4D-A82C-25CCA5005C0B}">
            <xm:f>VLOOKUP(J24,Calendars!$V$1:$AB$398,MATCH($P$1,Calendars!$V$1:$AB$1,0),FALSE)="Flex"</xm:f>
            <x14:dxf>
              <fill>
                <patternFill>
                  <bgColor rgb="FF0070C0"/>
                </patternFill>
              </fill>
            </x14:dxf>
          </x14:cfRule>
          <xm:sqref>J24:L24</xm:sqref>
        </x14:conditionalFormatting>
        <x14:conditionalFormatting xmlns:xm="http://schemas.microsoft.com/office/excel/2006/main">
          <x14:cfRule type="expression" priority="31531" id="{A8F78710-2033-404E-A2D1-7A9AE6D0F576}">
            <xm:f>VLOOKUP(C7,Calendars!$P$1:$Y$398,MATCH($P$1,Calendars!$P$1:$Y$1,0),FALSE)="Holiday"</xm:f>
            <x14:dxf>
              <fill>
                <patternFill>
                  <bgColor rgb="FFFF99FF"/>
                </patternFill>
              </fill>
            </x14:dxf>
          </x14:cfRule>
          <x14:cfRule type="expression" priority="31532" id="{B3A8253F-DAF7-4C88-842A-D89EF32215F3}">
            <xm:f>VLOOKUP(C7,Calendars!$P$1:$Y$398,MATCH($P$1,Calendars!$P$1:$Y$1,0),FALSE)="Non Contract"</xm:f>
            <x14:dxf>
              <fill>
                <patternFill patternType="lightDown"/>
              </fill>
            </x14:dxf>
          </x14:cfRule>
          <xm:sqref>C14:G14 C12:G12 C10:G10 C8:G8 C6:G6 X39:AB39 X41:AB41 C25:G25 C23:G23 C21:G21 C19:G19 C17:G17 C36:G36 C34:G34 C32:G32 C30:G30 C28:G28 J36:N36 J34:N34 J32:N32 J30:N30 J28:N28 J25:N25 J23:N23 J21:N21 J19:N19 J17:N17 J14:N14 J12:N12 J10:N10 J8:N8 J6:N6 Q14:U14 Q12:U12 Q10:U10 Q8:U8 Q6:U6 Q25:U25 Q23:U23 Q21:U21 Q19:U19 Q17:U17 Q36:U36 X14:AB14 X12:AB12 X10:AB10 X8:AB8 X6:AB6 X25:AB25 X23:AB23 X21:AB21 X19:AB19 X17:AB17 X36:AB36 X34:AB34 X32:AB32 X30:AB30 X28:AB28 Q34:U34 Q32:U32 Q30:U30 Q28:U28</xm:sqref>
        </x14:conditionalFormatting>
        <x14:conditionalFormatting xmlns:xm="http://schemas.microsoft.com/office/excel/2006/main">
          <x14:cfRule type="expression" priority="31655" id="{E652C631-847A-4042-A868-0CE81AF176D3}">
            <xm:f>VLOOKUP(C7,Calendars!$P$1:$Y$398,MATCH($P$1,Calendars!$P$1:$Y$1,0),FALSE)=""</xm:f>
            <x14:dxf>
              <fill>
                <patternFill>
                  <bgColor rgb="FFFF0000"/>
                </patternFill>
              </fill>
            </x14:dxf>
          </x14:cfRule>
          <xm:sqref>C14 C12 C10 C8 C6 X39 X41 C25 C23 C21 C19 C17 C36 C34 C32 C30 C28 J36 J34 J32 J30 J28 J25 J23 J21 J19 J17 J14 J12 J10 J8 J6 Q14 Q12 Q10 Q8 Q6 Q25 Q23 Q21 Q19 Q17 Q36 X14 X12 X10 X8 X6 X25 X23 X21 X19 X17 X36 X34 X32 X30 X28 Q34 Q32 Q30 Q28</xm:sqref>
        </x14:conditionalFormatting>
        <x14:conditionalFormatting xmlns:xm="http://schemas.microsoft.com/office/excel/2006/main">
          <x14:cfRule type="expression" priority="31717" id="{12D03C39-8B32-4745-8DE5-462EF26ED995}">
            <xm:f>AND(C6="",VLOOKUP(C7,Calendars!$P$1:$Y$398,MATCH($P$1,Calendars!$P$1:$Y$1,0),FALSE)="")</xm:f>
            <x14:dxf>
              <fill>
                <patternFill>
                  <bgColor rgb="FFFF0000"/>
                </patternFill>
              </fill>
            </x14:dxf>
          </x14:cfRule>
          <xm:sqref>C14:G14 C12:G12 C10:G10 C8:G8 C6:G6 X39:AB39 X41:AB41 C25:G25 C23:G23 C21:G21 C19:G19 C17:G17 C36:G36 C34:G34 C32:G32 C30:G30 C28:G28 J36:N36 J34:N34 J32:N32 J30:N30 J28:N28 J25:N25 J23:N23 J21:N21 J19:N19 J17:N17 J14:N14 J12:N12 J10:N10 J8:N8 J6:N6 Q14:U14 Q12:U12 Q10:U10 Q8:U8 Q6:U6 Q25:U25 Q23:U23 Q21:U21 Q19:U19 Q17:U17 Q36:U36 X14:AB14 X12:AB12 X10:AB10 X8:AB8 X6:AB6 X25:AB25 X23:AB23 X21:AB21 X19:AB19 X17:AB17 X36:AB36 X34:AB34 X32:AB32 X30:AB30 X28:AB28 Q34:U34 Q32:U32 Q30:U30 Q28:U28</xm:sqref>
        </x14:conditionalFormatting>
        <x14:conditionalFormatting xmlns:xm="http://schemas.microsoft.com/office/excel/2006/main">
          <x14:cfRule type="expression" priority="31779" id="{EE890FDF-3CF9-4207-A4B3-9AB2A89D1A1F}">
            <xm:f>VLOOKUP(X40,Calendars!$AA$1:$AK$398,MATCH($P$1,Calendars!$AA$1:$AK$1,0),FALSE)="MPTC"</xm:f>
            <x14:dxf>
              <fill>
                <patternFill>
                  <bgColor theme="5" tint="0.39994506668294322"/>
                </patternFill>
              </fill>
            </x14:dxf>
          </x14:cfRule>
          <x14:cfRule type="expression" priority="31780" id="{3C581F7C-882F-4F6F-814F-5A2D74C72C42}">
            <xm:f>VLOOKUP(X40,Calendars!$AA$1:$AK$398,MATCH($P$1,Calendars!$AA$1:$AK$1,0),FALSE)="PTC"</xm:f>
            <x14:dxf>
              <fill>
                <patternFill>
                  <bgColor theme="5" tint="-0.24994659260841701"/>
                </patternFill>
              </fill>
            </x14:dxf>
          </x14:cfRule>
          <x14:cfRule type="expression" priority="31781" id="{5E488941-5B4E-477D-9361-85AB40876383}">
            <xm:f>VLOOKUP(X40,Calendars!$AA$1:$AK$398,MATCH($P$1,Calendars!$AA$1:$AK$1,0),FALSE)="PD"</xm:f>
            <x14:dxf>
              <fill>
                <patternFill>
                  <bgColor rgb="FF0070C0"/>
                </patternFill>
              </fill>
            </x14:dxf>
          </x14:cfRule>
          <x14:cfRule type="expression" priority="31782" id="{67BC4D62-FBEE-4303-8C4C-A36B5B32CAB9}">
            <xm:f>VLOOKUP(X40,Calendars!$P$1:$Y$398,MATCH($P$1,Calendars!$P$1:$Y$1,0),FALSE)="Non Contract"</xm:f>
            <x14:dxf>
              <fill>
                <patternFill patternType="lightDown"/>
              </fill>
            </x14:dxf>
          </x14:cfRule>
          <x14:cfRule type="expression" priority="31783" id="{B1C015C5-3B61-4252-9D86-216D0F2C3DDD}">
            <xm:f>VLOOKUP(X40,Calendars!$P$1:$Y$398,MATCH($P$1,Calendars!$P$1:$Y$1,0),FALSE)="Holiday"</xm:f>
            <x14:dxf>
              <fill>
                <patternFill>
                  <bgColor rgb="FFFF99FF"/>
                </patternFill>
              </fill>
            </x14:dxf>
          </x14:cfRule>
          <xm:sqref>X40:AB40 X42:AB42</xm:sqref>
        </x14:conditionalFormatting>
        <x14:conditionalFormatting xmlns:xm="http://schemas.microsoft.com/office/excel/2006/main">
          <x14:cfRule type="expression" priority="31789" id="{1CB8664B-2333-403F-B7BB-2EBDF4CAD41E}">
            <xm:f>VLOOKUP(C7,Calendars!$V$1:$AB$398,MATCH($P$1,Calendars!$V$1:$AB$1,0),FALSE)="MPTC"</xm:f>
            <x14:dxf>
              <fill>
                <patternFill>
                  <bgColor theme="5" tint="0.39994506668294322"/>
                </patternFill>
              </fill>
            </x14:dxf>
          </x14:cfRule>
          <x14:cfRule type="expression" priority="31790" id="{6F6A8943-B7A9-4548-8BAB-C3BF1F64C648}">
            <xm:f>VLOOKUP(C7,Calendars!$V$1:$AB$398,MATCH($P$1,Calendars!$V$1:$AB$1,0),FALSE)="PTC"</xm:f>
            <x14:dxf>
              <fill>
                <patternFill>
                  <bgColor theme="5" tint="-0.24994659260841701"/>
                </patternFill>
              </fill>
            </x14:dxf>
          </x14:cfRule>
          <x14:cfRule type="expression" priority="31791" id="{169A388F-B8BD-4D5F-B304-1B9B434F3193}">
            <xm:f>VLOOKUP(C7,Calendars!$V$1:$AB$398,MATCH($P$1,Calendars!$V$1:$AB$1,0),FALSE)="PD"</xm:f>
            <x14:dxf>
              <fill>
                <patternFill>
                  <bgColor rgb="FF0070C0"/>
                </patternFill>
              </fill>
            </x14:dxf>
          </x14:cfRule>
          <x14:cfRule type="expression" priority="31792" id="{C00B4C76-BEBC-4DD5-BEC1-E1C0122067E7}">
            <xm:f>VLOOKUP(C7,Calendars!$O$1:$U$398,MATCH($P$1,Calendars!$O$1:$U$1,0),FALSE)="Non Contract"</xm:f>
            <x14:dxf>
              <fill>
                <patternFill patternType="lightDown"/>
              </fill>
            </x14:dxf>
          </x14:cfRule>
          <x14:cfRule type="expression" priority="31793" id="{1C13B175-E76D-4E38-9263-59B84CD62218}">
            <xm:f>VLOOKUP(C7,Calendars!$O$1:$U$398,MATCH($P$1,Calendars!$O$1:$U$1,0),FALSE)="Holiday"</xm:f>
            <x14:dxf>
              <fill>
                <patternFill>
                  <bgColor rgb="FFFF99FF"/>
                </patternFill>
              </fill>
            </x14:dxf>
          </x14:cfRule>
          <xm:sqref>C7:G7 C9:G9 C11:G11 C13:G13 C15:G15 C18:G18 C20:G20 C22:G22 C24:G24 C26:G26 C29:G29 C31:G31 C33:G33 C35:G35 C37:G37 J29:N29 J31:N31 J33:N33 J35:N35 J37:N37 J18:N18 J20:N20 J22:N22 J24:N24 J26:N26 J7:N7 J9:N9 J11:N11 J13:N13 J15:N15 Q7:U7 Q9:U9 Q11:U11 Q13:U13 Q15:U15 Q18:U18 Q20:U20 Q22:U22 Q24:U24 Q26:U26 Q37:U37 X7:AB7 X9:AB9 X11:AB11 X13:AB13 X15:AB15 X18:AB18 X20:AB20 X22:AB22 X24:AB24 X26:AB26 X29:AB29 X31:AB31 X33:AB33 X35:AB35 X37:AB37 Q29:U29 Q31:U31 Q33:U33 Q35:U35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400"/>
  <sheetViews>
    <sheetView topLeftCell="T1" workbookViewId="0">
      <selection activeCell="X2" sqref="X2:AC399"/>
    </sheetView>
  </sheetViews>
  <sheetFormatPr defaultRowHeight="15" x14ac:dyDescent="0.25"/>
  <cols>
    <col min="1" max="1" width="11.42578125" bestFit="1" customWidth="1"/>
    <col min="2" max="2" width="6.85546875" bestFit="1" customWidth="1"/>
    <col min="3" max="3" width="8.42578125" bestFit="1" customWidth="1"/>
    <col min="4" max="4" width="10.5703125" bestFit="1" customWidth="1"/>
    <col min="5" max="5" width="9.5703125" bestFit="1" customWidth="1"/>
    <col min="6" max="6" width="20.140625" bestFit="1" customWidth="1"/>
    <col min="7" max="7" width="2" bestFit="1" customWidth="1"/>
    <col min="8" max="8" width="2.85546875" bestFit="1" customWidth="1"/>
    <col min="9" max="13" width="2.85546875" customWidth="1"/>
    <col min="15" max="15" width="10.5703125" style="61" bestFit="1" customWidth="1"/>
    <col min="16" max="16" width="14.5703125" style="124" bestFit="1" customWidth="1"/>
    <col min="17" max="17" width="15.85546875" style="180" customWidth="1"/>
    <col min="18" max="18" width="16" customWidth="1"/>
    <col min="19" max="21" width="12.5703125" customWidth="1"/>
    <col min="22" max="22" width="14.5703125" customWidth="1"/>
    <col min="23" max="24" width="15.85546875" customWidth="1"/>
    <col min="25" max="25" width="16" customWidth="1"/>
    <col min="26" max="26" width="11.140625" customWidth="1"/>
    <col min="27" max="27" width="9.7109375" customWidth="1"/>
    <col min="28" max="28" width="10.42578125" bestFit="1" customWidth="1"/>
    <col min="29" max="29" width="7.28515625" bestFit="1" customWidth="1"/>
    <col min="30" max="30" width="15.85546875" customWidth="1"/>
    <col min="31" max="31" width="16" customWidth="1"/>
    <col min="32" max="32" width="11.140625" customWidth="1"/>
    <col min="33" max="33" width="9.5703125" customWidth="1"/>
    <col min="34" max="34" width="10.42578125" bestFit="1" customWidth="1"/>
    <col min="35" max="35" width="10.42578125" customWidth="1"/>
    <col min="36" max="37" width="5.5703125" style="95" customWidth="1"/>
    <col min="38" max="38" width="18.85546875" style="95" customWidth="1"/>
    <col min="39" max="39" width="34.5703125" style="95" customWidth="1"/>
    <col min="40" max="40" width="11.140625" customWidth="1"/>
  </cols>
  <sheetData>
    <row r="1" spans="1:40" ht="30" x14ac:dyDescent="0.25">
      <c r="A1" s="343" t="s">
        <v>79</v>
      </c>
      <c r="B1" s="343"/>
      <c r="C1" s="41">
        <v>2024</v>
      </c>
      <c r="D1" s="41"/>
      <c r="E1" t="s">
        <v>229</v>
      </c>
      <c r="F1" s="177">
        <f>DATE(BegCalYear,5,3)</f>
        <v>45415</v>
      </c>
      <c r="O1" s="61" t="s">
        <v>15</v>
      </c>
      <c r="P1" s="124" t="s">
        <v>176</v>
      </c>
      <c r="Q1" s="205" t="s">
        <v>193</v>
      </c>
      <c r="R1" s="206" t="s">
        <v>194</v>
      </c>
      <c r="S1" s="207" t="s">
        <v>195</v>
      </c>
      <c r="T1" s="207" t="s">
        <v>196</v>
      </c>
      <c r="U1" s="207" t="s">
        <v>197</v>
      </c>
      <c r="V1" t="s">
        <v>15</v>
      </c>
      <c r="W1" t="s">
        <v>176</v>
      </c>
      <c r="X1" s="206" t="s">
        <v>193</v>
      </c>
      <c r="Y1" s="206" t="s">
        <v>194</v>
      </c>
      <c r="Z1" s="207" t="s">
        <v>195</v>
      </c>
      <c r="AA1" s="207" t="s">
        <v>196</v>
      </c>
      <c r="AB1" s="207" t="s">
        <v>197</v>
      </c>
      <c r="AC1" s="207" t="s">
        <v>140</v>
      </c>
      <c r="AD1" t="s">
        <v>230</v>
      </c>
      <c r="AE1" s="122" t="s">
        <v>193</v>
      </c>
      <c r="AF1" s="122" t="s">
        <v>194</v>
      </c>
      <c r="AG1" s="123" t="s">
        <v>195</v>
      </c>
      <c r="AH1" s="123" t="s">
        <v>196</v>
      </c>
      <c r="AI1" s="123" t="s">
        <v>197</v>
      </c>
      <c r="AJ1" s="123"/>
      <c r="AK1" s="178" t="s">
        <v>231</v>
      </c>
      <c r="AL1" s="179" t="s">
        <v>232</v>
      </c>
      <c r="AM1" s="179" t="s">
        <v>233</v>
      </c>
      <c r="AN1" s="95" t="s">
        <v>234</v>
      </c>
    </row>
    <row r="2" spans="1:40" x14ac:dyDescent="0.25">
      <c r="A2" s="343" t="s">
        <v>80</v>
      </c>
      <c r="B2" s="343"/>
      <c r="C2" s="41">
        <v>2025</v>
      </c>
      <c r="D2" s="41"/>
      <c r="Q2" s="205">
        <v>207</v>
      </c>
      <c r="R2" s="206">
        <v>207</v>
      </c>
      <c r="S2" s="207">
        <v>187</v>
      </c>
      <c r="T2" s="207">
        <v>187</v>
      </c>
      <c r="U2" s="207">
        <v>187</v>
      </c>
      <c r="AE2">
        <v>207</v>
      </c>
      <c r="AF2">
        <v>207</v>
      </c>
      <c r="AG2">
        <v>187</v>
      </c>
      <c r="AH2">
        <v>187</v>
      </c>
      <c r="AI2">
        <v>187</v>
      </c>
      <c r="AJ2"/>
      <c r="AK2" s="95" t="s">
        <v>235</v>
      </c>
      <c r="AL2" s="95" t="s">
        <v>236</v>
      </c>
      <c r="AM2" s="95" t="s">
        <v>83</v>
      </c>
      <c r="AN2" s="95" t="s">
        <v>84</v>
      </c>
    </row>
    <row r="3" spans="1:40" x14ac:dyDescent="0.25">
      <c r="A3" s="92" t="s">
        <v>62</v>
      </c>
      <c r="B3" s="93" t="s">
        <v>81</v>
      </c>
      <c r="C3" s="93" t="s">
        <v>82</v>
      </c>
      <c r="D3" s="93" t="s">
        <v>75</v>
      </c>
      <c r="E3" s="61">
        <v>44378</v>
      </c>
      <c r="F3" s="180"/>
      <c r="G3">
        <v>1</v>
      </c>
      <c r="H3" t="s">
        <v>237</v>
      </c>
      <c r="O3" s="61">
        <f>DATE(BegCalYear,7,1)</f>
        <v>45474</v>
      </c>
      <c r="P3" s="124">
        <f>WEEKDAY(O3)</f>
        <v>2</v>
      </c>
      <c r="Q3" s="180" t="s">
        <v>155</v>
      </c>
      <c r="R3" s="61" t="s">
        <v>155</v>
      </c>
      <c r="S3" s="61" t="s">
        <v>155</v>
      </c>
      <c r="T3" s="61" t="s">
        <v>155</v>
      </c>
      <c r="U3" s="61" t="s">
        <v>155</v>
      </c>
      <c r="V3" s="61">
        <f>DATE(BegCalYear,7,1)</f>
        <v>45474</v>
      </c>
      <c r="W3" s="124">
        <f t="shared" ref="W3" si="0">WEEKDAY(V3)</f>
        <v>2</v>
      </c>
      <c r="AD3" s="61">
        <f>DATE(BegCalYear,7,1)</f>
        <v>45474</v>
      </c>
      <c r="AE3">
        <f t="shared" ref="AE3:AE66" si="1">AE2-(IF(Q3=1,1,0))</f>
        <v>207</v>
      </c>
      <c r="AF3">
        <f t="shared" ref="AF3:AF66" si="2">AF2-(IF(R3=1,1,0))</f>
        <v>207</v>
      </c>
      <c r="AG3">
        <f t="shared" ref="AG3:AG66" si="3">AG2-(IF(S3=1,1,0))</f>
        <v>187</v>
      </c>
      <c r="AH3">
        <f t="shared" ref="AH3:AH66" si="4">AH2-(IF(T3=1,1,0))</f>
        <v>187</v>
      </c>
      <c r="AI3">
        <f t="shared" ref="AI3:AI66" si="5">AI2-(IF(U3=1,1,0))</f>
        <v>187</v>
      </c>
      <c r="AJ3"/>
      <c r="AK3" s="95" t="s">
        <v>238</v>
      </c>
      <c r="AL3" s="95" t="s">
        <v>239</v>
      </c>
      <c r="AM3" s="95" t="s">
        <v>202</v>
      </c>
      <c r="AN3" s="95" t="s">
        <v>84</v>
      </c>
    </row>
    <row r="4" spans="1:40" x14ac:dyDescent="0.25">
      <c r="A4" s="41" t="s">
        <v>63</v>
      </c>
      <c r="B4" s="41">
        <v>2019</v>
      </c>
      <c r="C4" s="41">
        <v>2020</v>
      </c>
      <c r="D4" s="94">
        <f>DATE(BegCalYear,7,1)-WEEKDAY(DATE(BegCalYear,7,1),1)</f>
        <v>45472</v>
      </c>
      <c r="E4" s="61">
        <v>44409</v>
      </c>
      <c r="F4" s="180"/>
      <c r="G4" s="180">
        <v>2</v>
      </c>
      <c r="H4" t="s">
        <v>1</v>
      </c>
      <c r="O4" s="61">
        <f>O3+1</f>
        <v>45475</v>
      </c>
      <c r="P4" s="124">
        <f t="shared" ref="P4:P67" si="6">WEEKDAY(O4)</f>
        <v>3</v>
      </c>
      <c r="Q4" s="180" t="s">
        <v>155</v>
      </c>
      <c r="R4" s="61" t="s">
        <v>155</v>
      </c>
      <c r="S4" s="61" t="s">
        <v>155</v>
      </c>
      <c r="T4" s="61" t="s">
        <v>155</v>
      </c>
      <c r="U4" s="61" t="s">
        <v>155</v>
      </c>
      <c r="V4" s="61">
        <f t="shared" ref="V4:V67" si="7">V3+1</f>
        <v>45475</v>
      </c>
      <c r="W4" s="124">
        <f t="shared" ref="W4" si="8">WEEKDAY(V4)</f>
        <v>3</v>
      </c>
      <c r="AD4" s="61">
        <f>AD3+1</f>
        <v>45475</v>
      </c>
      <c r="AE4">
        <f t="shared" si="1"/>
        <v>207</v>
      </c>
      <c r="AF4">
        <f t="shared" si="2"/>
        <v>207</v>
      </c>
      <c r="AG4">
        <f t="shared" si="3"/>
        <v>187</v>
      </c>
      <c r="AH4">
        <f t="shared" si="4"/>
        <v>187</v>
      </c>
      <c r="AI4">
        <f t="shared" si="5"/>
        <v>187</v>
      </c>
      <c r="AJ4"/>
      <c r="AK4" s="95" t="s">
        <v>240</v>
      </c>
      <c r="AL4" s="95" t="s">
        <v>241</v>
      </c>
      <c r="AM4" s="95" t="s">
        <v>203</v>
      </c>
      <c r="AN4" s="95" t="s">
        <v>84</v>
      </c>
    </row>
    <row r="5" spans="1:40" x14ac:dyDescent="0.25">
      <c r="A5" s="41" t="s">
        <v>64</v>
      </c>
      <c r="B5" s="41">
        <v>2020</v>
      </c>
      <c r="C5" s="41">
        <v>2021</v>
      </c>
      <c r="D5" s="94">
        <f>DATE(BegCalYear,8,1)-WEEKDAY(DATE(BegCalYear,8,1),1)</f>
        <v>45500</v>
      </c>
      <c r="E5" s="61">
        <v>44440</v>
      </c>
      <c r="F5" s="180"/>
      <c r="G5" s="180">
        <v>3</v>
      </c>
      <c r="H5" t="s">
        <v>2</v>
      </c>
      <c r="O5" s="61">
        <f>O4+1</f>
        <v>45476</v>
      </c>
      <c r="P5" s="124">
        <f t="shared" si="6"/>
        <v>4</v>
      </c>
      <c r="Q5" s="180" t="s">
        <v>155</v>
      </c>
      <c r="R5" s="61" t="s">
        <v>155</v>
      </c>
      <c r="S5" s="61" t="s">
        <v>155</v>
      </c>
      <c r="T5" s="61" t="s">
        <v>155</v>
      </c>
      <c r="U5" s="61" t="s">
        <v>155</v>
      </c>
      <c r="V5" s="61">
        <f t="shared" si="7"/>
        <v>45476</v>
      </c>
      <c r="W5" s="124">
        <f t="shared" ref="W5" si="9">WEEKDAY(V5)</f>
        <v>4</v>
      </c>
      <c r="AD5" s="61">
        <f>AD4+1</f>
        <v>45476</v>
      </c>
      <c r="AE5">
        <f t="shared" si="1"/>
        <v>207</v>
      </c>
      <c r="AF5">
        <f t="shared" si="2"/>
        <v>207</v>
      </c>
      <c r="AG5">
        <f t="shared" si="3"/>
        <v>187</v>
      </c>
      <c r="AH5">
        <f t="shared" si="4"/>
        <v>187</v>
      </c>
      <c r="AI5">
        <f t="shared" si="5"/>
        <v>187</v>
      </c>
      <c r="AJ5"/>
      <c r="AK5" s="95" t="s">
        <v>242</v>
      </c>
      <c r="AL5" s="95" t="s">
        <v>243</v>
      </c>
      <c r="AM5" s="95" t="s">
        <v>219</v>
      </c>
      <c r="AN5" s="95" t="s">
        <v>84</v>
      </c>
    </row>
    <row r="6" spans="1:40" x14ac:dyDescent="0.25">
      <c r="A6" s="41" t="s">
        <v>65</v>
      </c>
      <c r="B6" s="41">
        <v>2021</v>
      </c>
      <c r="C6" s="41">
        <v>2022</v>
      </c>
      <c r="D6" s="94">
        <f>DATE(BegCalYear,9,1)-WEEKDAY(DATE(BegCalYear,9,1),1)</f>
        <v>45535</v>
      </c>
      <c r="E6" s="61">
        <v>44470</v>
      </c>
      <c r="F6" s="180"/>
      <c r="G6" s="180">
        <v>4</v>
      </c>
      <c r="H6" t="s">
        <v>3</v>
      </c>
      <c r="O6" s="61">
        <f t="shared" ref="O6:O69" si="10">O5+1</f>
        <v>45477</v>
      </c>
      <c r="P6" s="124">
        <f t="shared" si="6"/>
        <v>5</v>
      </c>
      <c r="Q6" s="180" t="s">
        <v>177</v>
      </c>
      <c r="R6" s="61" t="s">
        <v>177</v>
      </c>
      <c r="S6" s="61" t="s">
        <v>177</v>
      </c>
      <c r="T6" s="61" t="s">
        <v>177</v>
      </c>
      <c r="U6" s="61" t="s">
        <v>177</v>
      </c>
      <c r="V6" s="61">
        <f t="shared" si="7"/>
        <v>45477</v>
      </c>
      <c r="W6" s="124">
        <f t="shared" ref="W6" si="11">WEEKDAY(V6)</f>
        <v>5</v>
      </c>
      <c r="AD6" s="61">
        <f t="shared" ref="AD6:AD69" si="12">AD5+1</f>
        <v>45477</v>
      </c>
      <c r="AE6">
        <f t="shared" si="1"/>
        <v>207</v>
      </c>
      <c r="AF6">
        <f t="shared" si="2"/>
        <v>207</v>
      </c>
      <c r="AG6">
        <f t="shared" si="3"/>
        <v>187</v>
      </c>
      <c r="AH6">
        <f t="shared" si="4"/>
        <v>187</v>
      </c>
      <c r="AI6">
        <f t="shared" si="5"/>
        <v>187</v>
      </c>
      <c r="AJ6"/>
      <c r="AK6" s="95" t="s">
        <v>244</v>
      </c>
      <c r="AL6" s="95" t="s">
        <v>245</v>
      </c>
      <c r="AM6" s="95" t="s">
        <v>86</v>
      </c>
      <c r="AN6" s="95" t="s">
        <v>84</v>
      </c>
    </row>
    <row r="7" spans="1:40" x14ac:dyDescent="0.25">
      <c r="A7" s="41" t="s">
        <v>66</v>
      </c>
      <c r="B7" s="41">
        <v>2022</v>
      </c>
      <c r="C7" s="41">
        <v>2023</v>
      </c>
      <c r="D7" s="94">
        <f>DATE(BegCalYear,10,1)-WEEKDAY(DATE(BegCalYear,10,1),1)</f>
        <v>45563</v>
      </c>
      <c r="E7" s="61">
        <v>44501</v>
      </c>
      <c r="F7" s="180"/>
      <c r="G7" s="180">
        <v>5</v>
      </c>
      <c r="H7" t="s">
        <v>246</v>
      </c>
      <c r="O7" s="61">
        <f t="shared" si="10"/>
        <v>45478</v>
      </c>
      <c r="P7" s="124">
        <f t="shared" si="6"/>
        <v>6</v>
      </c>
      <c r="Q7" s="180" t="s">
        <v>155</v>
      </c>
      <c r="R7" s="61" t="s">
        <v>155</v>
      </c>
      <c r="S7" s="61" t="s">
        <v>155</v>
      </c>
      <c r="T7" s="61" t="s">
        <v>155</v>
      </c>
      <c r="U7" s="61" t="s">
        <v>155</v>
      </c>
      <c r="V7" s="61">
        <f t="shared" si="7"/>
        <v>45478</v>
      </c>
      <c r="W7" s="124">
        <f t="shared" ref="W7" si="13">WEEKDAY(V7)</f>
        <v>6</v>
      </c>
      <c r="AD7" s="61">
        <f t="shared" si="12"/>
        <v>45478</v>
      </c>
      <c r="AE7">
        <f t="shared" si="1"/>
        <v>207</v>
      </c>
      <c r="AF7">
        <f t="shared" si="2"/>
        <v>207</v>
      </c>
      <c r="AG7">
        <f t="shared" si="3"/>
        <v>187</v>
      </c>
      <c r="AH7">
        <f t="shared" si="4"/>
        <v>187</v>
      </c>
      <c r="AI7">
        <f t="shared" si="5"/>
        <v>187</v>
      </c>
      <c r="AJ7"/>
      <c r="AK7" s="95" t="s">
        <v>247</v>
      </c>
      <c r="AL7" s="95" t="s">
        <v>248</v>
      </c>
      <c r="AM7" s="95" t="s">
        <v>201</v>
      </c>
      <c r="AN7" s="95" t="s">
        <v>93</v>
      </c>
    </row>
    <row r="8" spans="1:40" x14ac:dyDescent="0.25">
      <c r="A8" s="41" t="s">
        <v>67</v>
      </c>
      <c r="B8" s="41">
        <v>2023</v>
      </c>
      <c r="C8" s="41">
        <v>2024</v>
      </c>
      <c r="D8" s="94">
        <f>DATE(BegCalYear,11,1)-WEEKDAY(DATE(BegCalYear,11,1),1)</f>
        <v>45591</v>
      </c>
      <c r="E8" s="61">
        <v>44531</v>
      </c>
      <c r="F8" s="180"/>
      <c r="G8" s="180">
        <v>6</v>
      </c>
      <c r="H8" t="s">
        <v>5</v>
      </c>
      <c r="O8" s="61">
        <f t="shared" si="10"/>
        <v>45479</v>
      </c>
      <c r="P8" s="124">
        <f t="shared" si="6"/>
        <v>7</v>
      </c>
      <c r="Q8" s="180" t="s">
        <v>155</v>
      </c>
      <c r="R8" s="61" t="s">
        <v>155</v>
      </c>
      <c r="S8" s="61" t="s">
        <v>155</v>
      </c>
      <c r="T8" s="61" t="s">
        <v>155</v>
      </c>
      <c r="U8" s="61" t="s">
        <v>155</v>
      </c>
      <c r="V8" s="61">
        <f t="shared" si="7"/>
        <v>45479</v>
      </c>
      <c r="W8" s="124">
        <f t="shared" ref="W8" si="14">WEEKDAY(V8)</f>
        <v>7</v>
      </c>
      <c r="AD8" s="61">
        <f t="shared" si="12"/>
        <v>45479</v>
      </c>
      <c r="AE8">
        <f t="shared" si="1"/>
        <v>207</v>
      </c>
      <c r="AF8">
        <f t="shared" si="2"/>
        <v>207</v>
      </c>
      <c r="AG8">
        <f t="shared" si="3"/>
        <v>187</v>
      </c>
      <c r="AH8">
        <f t="shared" si="4"/>
        <v>187</v>
      </c>
      <c r="AI8">
        <f t="shared" si="5"/>
        <v>187</v>
      </c>
      <c r="AJ8"/>
      <c r="AK8" s="95" t="s">
        <v>431</v>
      </c>
      <c r="AL8" s="95" t="s">
        <v>432</v>
      </c>
      <c r="AM8" s="95" t="s">
        <v>433</v>
      </c>
      <c r="AN8" s="95" t="s">
        <v>84</v>
      </c>
    </row>
    <row r="9" spans="1:40" x14ac:dyDescent="0.25">
      <c r="A9" s="41" t="s">
        <v>68</v>
      </c>
      <c r="B9" s="41">
        <v>2024</v>
      </c>
      <c r="C9" s="41">
        <v>2025</v>
      </c>
      <c r="D9" s="94">
        <f>DATE(BegCalYear,12,1)-WEEKDAY(DATE(BegCalYear,12,1),1)</f>
        <v>45626</v>
      </c>
      <c r="E9" s="61">
        <v>44562</v>
      </c>
      <c r="F9" s="180"/>
      <c r="G9" s="180">
        <v>7</v>
      </c>
      <c r="H9" t="s">
        <v>237</v>
      </c>
      <c r="O9" s="61">
        <f t="shared" si="10"/>
        <v>45480</v>
      </c>
      <c r="P9" s="124">
        <f t="shared" si="6"/>
        <v>1</v>
      </c>
      <c r="Q9" s="180" t="s">
        <v>155</v>
      </c>
      <c r="R9" s="61" t="s">
        <v>155</v>
      </c>
      <c r="S9" s="61" t="s">
        <v>155</v>
      </c>
      <c r="T9" s="61" t="s">
        <v>155</v>
      </c>
      <c r="U9" s="61" t="s">
        <v>155</v>
      </c>
      <c r="V9" s="61">
        <f t="shared" si="7"/>
        <v>45480</v>
      </c>
      <c r="W9" s="124">
        <f t="shared" ref="W9" si="15">WEEKDAY(V9)</f>
        <v>1</v>
      </c>
      <c r="AD9" s="61">
        <f t="shared" si="12"/>
        <v>45480</v>
      </c>
      <c r="AE9">
        <f t="shared" si="1"/>
        <v>207</v>
      </c>
      <c r="AF9">
        <f t="shared" si="2"/>
        <v>207</v>
      </c>
      <c r="AG9">
        <f t="shared" si="3"/>
        <v>187</v>
      </c>
      <c r="AH9">
        <f t="shared" si="4"/>
        <v>187</v>
      </c>
      <c r="AI9">
        <f t="shared" si="5"/>
        <v>187</v>
      </c>
      <c r="AJ9"/>
      <c r="AK9" s="95" t="s">
        <v>434</v>
      </c>
      <c r="AL9" s="95" t="s">
        <v>435</v>
      </c>
      <c r="AM9" s="95" t="s">
        <v>436</v>
      </c>
      <c r="AN9" s="95" t="s">
        <v>84</v>
      </c>
    </row>
    <row r="10" spans="1:40" x14ac:dyDescent="0.25">
      <c r="A10" s="41" t="s">
        <v>69</v>
      </c>
      <c r="B10" s="41">
        <v>2025</v>
      </c>
      <c r="C10" s="41">
        <v>2026</v>
      </c>
      <c r="D10" s="94">
        <f>DATE(EndCalYear,1,1)-WEEKDAY(DATE(EndCalYear,1,1),1)</f>
        <v>45654</v>
      </c>
      <c r="E10" s="61">
        <v>44593</v>
      </c>
      <c r="F10" s="180"/>
      <c r="G10" s="180" t="str">
        <f>"."</f>
        <v>.</v>
      </c>
      <c r="H10" t="str">
        <f>"."</f>
        <v>.</v>
      </c>
      <c r="O10" s="61">
        <f t="shared" si="10"/>
        <v>45481</v>
      </c>
      <c r="P10" s="124">
        <f t="shared" si="6"/>
        <v>2</v>
      </c>
      <c r="Q10" s="180" t="s">
        <v>155</v>
      </c>
      <c r="R10" s="61" t="s">
        <v>155</v>
      </c>
      <c r="S10" s="61" t="s">
        <v>155</v>
      </c>
      <c r="T10" s="61" t="s">
        <v>155</v>
      </c>
      <c r="U10" s="61" t="s">
        <v>155</v>
      </c>
      <c r="V10" s="61">
        <f t="shared" si="7"/>
        <v>45481</v>
      </c>
      <c r="W10" s="124">
        <f t="shared" ref="W10" si="16">WEEKDAY(V10)</f>
        <v>2</v>
      </c>
      <c r="AD10" s="61">
        <f t="shared" si="12"/>
        <v>45481</v>
      </c>
      <c r="AE10">
        <f t="shared" si="1"/>
        <v>207</v>
      </c>
      <c r="AF10">
        <f t="shared" si="2"/>
        <v>207</v>
      </c>
      <c r="AG10">
        <f t="shared" si="3"/>
        <v>187</v>
      </c>
      <c r="AH10">
        <f t="shared" si="4"/>
        <v>187</v>
      </c>
      <c r="AI10">
        <f t="shared" si="5"/>
        <v>187</v>
      </c>
      <c r="AJ10"/>
      <c r="AK10" s="95" t="s">
        <v>437</v>
      </c>
      <c r="AL10" s="95" t="s">
        <v>438</v>
      </c>
      <c r="AM10" s="95" t="s">
        <v>439</v>
      </c>
      <c r="AN10" s="95" t="s">
        <v>84</v>
      </c>
    </row>
    <row r="11" spans="1:40" x14ac:dyDescent="0.25">
      <c r="A11" s="41" t="s">
        <v>70</v>
      </c>
      <c r="B11" s="41">
        <v>2026</v>
      </c>
      <c r="C11" s="41">
        <v>2027</v>
      </c>
      <c r="D11" s="94">
        <f>DATE(EndCalYear,2,1)-WEEKDAY(DATE(EndCalYear,2,1),1)</f>
        <v>45682</v>
      </c>
      <c r="E11" s="61">
        <v>44621</v>
      </c>
      <c r="F11" s="180"/>
      <c r="O11" s="61">
        <f t="shared" si="10"/>
        <v>45482</v>
      </c>
      <c r="P11" s="124">
        <f t="shared" si="6"/>
        <v>3</v>
      </c>
      <c r="Q11" s="180" t="s">
        <v>155</v>
      </c>
      <c r="R11" s="61" t="s">
        <v>155</v>
      </c>
      <c r="S11" s="61" t="s">
        <v>155</v>
      </c>
      <c r="T11" s="61" t="s">
        <v>155</v>
      </c>
      <c r="U11" s="61" t="s">
        <v>155</v>
      </c>
      <c r="V11" s="61">
        <f t="shared" si="7"/>
        <v>45482</v>
      </c>
      <c r="W11" s="124">
        <f t="shared" ref="W11" si="17">WEEKDAY(V11)</f>
        <v>3</v>
      </c>
      <c r="AD11" s="61">
        <f t="shared" si="12"/>
        <v>45482</v>
      </c>
      <c r="AE11">
        <f t="shared" si="1"/>
        <v>207</v>
      </c>
      <c r="AF11">
        <f t="shared" si="2"/>
        <v>207</v>
      </c>
      <c r="AG11">
        <f t="shared" si="3"/>
        <v>187</v>
      </c>
      <c r="AH11">
        <f t="shared" si="4"/>
        <v>187</v>
      </c>
      <c r="AI11">
        <f t="shared" si="5"/>
        <v>187</v>
      </c>
      <c r="AJ11"/>
      <c r="AK11" s="95" t="s">
        <v>440</v>
      </c>
      <c r="AL11" s="95" t="s">
        <v>441</v>
      </c>
      <c r="AM11" s="95" t="s">
        <v>442</v>
      </c>
      <c r="AN11" s="95" t="s">
        <v>84</v>
      </c>
    </row>
    <row r="12" spans="1:40" x14ac:dyDescent="0.25">
      <c r="A12" s="41" t="s">
        <v>71</v>
      </c>
      <c r="B12" s="41">
        <v>2027</v>
      </c>
      <c r="C12" s="41">
        <v>2028</v>
      </c>
      <c r="D12" s="94">
        <f>DATE(EndCalYear,3,1)-WEEKDAY(DATE(EndCalYear,3,1),1)</f>
        <v>45710</v>
      </c>
      <c r="E12" s="61">
        <v>44652</v>
      </c>
      <c r="F12" s="180"/>
      <c r="O12" s="61">
        <f t="shared" si="10"/>
        <v>45483</v>
      </c>
      <c r="P12" s="124">
        <f t="shared" si="6"/>
        <v>4</v>
      </c>
      <c r="Q12" s="180" t="s">
        <v>155</v>
      </c>
      <c r="R12" s="61" t="s">
        <v>155</v>
      </c>
      <c r="S12" s="61" t="s">
        <v>155</v>
      </c>
      <c r="T12" s="61" t="s">
        <v>155</v>
      </c>
      <c r="U12" s="61" t="s">
        <v>155</v>
      </c>
      <c r="V12" s="61">
        <f t="shared" si="7"/>
        <v>45483</v>
      </c>
      <c r="W12" s="124">
        <f t="shared" ref="W12" si="18">WEEKDAY(V12)</f>
        <v>4</v>
      </c>
      <c r="AD12" s="61">
        <f t="shared" si="12"/>
        <v>45483</v>
      </c>
      <c r="AE12">
        <f t="shared" si="1"/>
        <v>207</v>
      </c>
      <c r="AF12">
        <f t="shared" si="2"/>
        <v>207</v>
      </c>
      <c r="AG12">
        <f t="shared" si="3"/>
        <v>187</v>
      </c>
      <c r="AH12">
        <f t="shared" si="4"/>
        <v>187</v>
      </c>
      <c r="AI12">
        <f t="shared" si="5"/>
        <v>187</v>
      </c>
      <c r="AJ12"/>
      <c r="AK12" s="95" t="s">
        <v>443</v>
      </c>
      <c r="AL12" s="95" t="s">
        <v>444</v>
      </c>
      <c r="AM12" s="95" t="s">
        <v>445</v>
      </c>
      <c r="AN12" s="95" t="s">
        <v>84</v>
      </c>
    </row>
    <row r="13" spans="1:40" x14ac:dyDescent="0.25">
      <c r="A13" s="41" t="s">
        <v>72</v>
      </c>
      <c r="B13" s="41">
        <v>2028</v>
      </c>
      <c r="C13" s="41">
        <v>2029</v>
      </c>
      <c r="D13" s="94">
        <f>DATE(EndCalYear,4,1)-WEEKDAY(DATE(EndCalYear,4,1),1)</f>
        <v>45745</v>
      </c>
      <c r="E13" s="61">
        <v>44682</v>
      </c>
      <c r="F13" s="180"/>
      <c r="O13" s="61">
        <f t="shared" si="10"/>
        <v>45484</v>
      </c>
      <c r="P13" s="124">
        <f t="shared" si="6"/>
        <v>5</v>
      </c>
      <c r="Q13" s="180" t="s">
        <v>155</v>
      </c>
      <c r="R13" s="61" t="s">
        <v>155</v>
      </c>
      <c r="S13" s="61" t="s">
        <v>155</v>
      </c>
      <c r="T13" s="61" t="s">
        <v>155</v>
      </c>
      <c r="U13" s="61" t="s">
        <v>155</v>
      </c>
      <c r="V13" s="61">
        <f t="shared" si="7"/>
        <v>45484</v>
      </c>
      <c r="W13" s="124">
        <f t="shared" ref="W13" si="19">WEEKDAY(V13)</f>
        <v>5</v>
      </c>
      <c r="AD13" s="61">
        <f t="shared" si="12"/>
        <v>45484</v>
      </c>
      <c r="AE13">
        <f t="shared" si="1"/>
        <v>207</v>
      </c>
      <c r="AF13">
        <f t="shared" si="2"/>
        <v>207</v>
      </c>
      <c r="AG13">
        <f t="shared" si="3"/>
        <v>187</v>
      </c>
      <c r="AH13">
        <f t="shared" si="4"/>
        <v>187</v>
      </c>
      <c r="AI13">
        <f t="shared" si="5"/>
        <v>187</v>
      </c>
      <c r="AJ13"/>
      <c r="AK13" s="95" t="s">
        <v>446</v>
      </c>
      <c r="AL13" s="95" t="s">
        <v>447</v>
      </c>
      <c r="AM13" s="95" t="s">
        <v>448</v>
      </c>
      <c r="AN13" s="95" t="s">
        <v>84</v>
      </c>
    </row>
    <row r="14" spans="1:40" x14ac:dyDescent="0.25">
      <c r="A14" s="41" t="s">
        <v>73</v>
      </c>
      <c r="B14" s="41">
        <v>2029</v>
      </c>
      <c r="C14" s="41">
        <v>2030</v>
      </c>
      <c r="D14" s="94">
        <f>DATE(EndCalYear,5,1)-WEEKDAY(DATE(EndCalYear,5,1),1)</f>
        <v>45773</v>
      </c>
      <c r="E14" s="61">
        <v>44713</v>
      </c>
      <c r="F14" s="180"/>
      <c r="O14" s="61">
        <f t="shared" si="10"/>
        <v>45485</v>
      </c>
      <c r="P14" s="124">
        <f t="shared" si="6"/>
        <v>6</v>
      </c>
      <c r="Q14" s="180" t="s">
        <v>155</v>
      </c>
      <c r="R14" s="61" t="s">
        <v>155</v>
      </c>
      <c r="S14" s="61" t="s">
        <v>155</v>
      </c>
      <c r="T14" s="61" t="s">
        <v>155</v>
      </c>
      <c r="U14" s="61" t="s">
        <v>155</v>
      </c>
      <c r="V14" s="61">
        <f t="shared" si="7"/>
        <v>45485</v>
      </c>
      <c r="W14" s="124">
        <f t="shared" ref="W14" si="20">WEEKDAY(V14)</f>
        <v>6</v>
      </c>
      <c r="AD14" s="61">
        <f t="shared" si="12"/>
        <v>45485</v>
      </c>
      <c r="AE14">
        <f t="shared" si="1"/>
        <v>207</v>
      </c>
      <c r="AF14">
        <f t="shared" si="2"/>
        <v>207</v>
      </c>
      <c r="AG14">
        <f t="shared" si="3"/>
        <v>187</v>
      </c>
      <c r="AH14">
        <f t="shared" si="4"/>
        <v>187</v>
      </c>
      <c r="AI14">
        <f t="shared" si="5"/>
        <v>187</v>
      </c>
      <c r="AJ14"/>
      <c r="AK14" s="95" t="s">
        <v>449</v>
      </c>
      <c r="AL14" s="95" t="s">
        <v>450</v>
      </c>
      <c r="AM14" s="95" t="s">
        <v>451</v>
      </c>
      <c r="AN14" s="95" t="s">
        <v>93</v>
      </c>
    </row>
    <row r="15" spans="1:40" x14ac:dyDescent="0.25">
      <c r="A15" s="41" t="s">
        <v>78</v>
      </c>
      <c r="B15" s="41">
        <v>2030</v>
      </c>
      <c r="C15" s="41">
        <v>2031</v>
      </c>
      <c r="D15" s="94">
        <f>DATE(EndCalYear,6,1)-WEEKDAY(DATE(EndCalYear,6,1),1)</f>
        <v>45808</v>
      </c>
      <c r="E15" s="61">
        <v>44743</v>
      </c>
      <c r="F15" s="180"/>
      <c r="O15" s="61">
        <f t="shared" si="10"/>
        <v>45486</v>
      </c>
      <c r="P15" s="124">
        <f t="shared" si="6"/>
        <v>7</v>
      </c>
      <c r="Q15" s="180" t="s">
        <v>155</v>
      </c>
      <c r="R15" s="61" t="s">
        <v>155</v>
      </c>
      <c r="S15" s="61" t="s">
        <v>155</v>
      </c>
      <c r="T15" s="61" t="s">
        <v>155</v>
      </c>
      <c r="U15" s="61" t="s">
        <v>155</v>
      </c>
      <c r="V15" s="61">
        <f t="shared" si="7"/>
        <v>45486</v>
      </c>
      <c r="W15" s="124">
        <f t="shared" ref="W15" si="21">WEEKDAY(V15)</f>
        <v>7</v>
      </c>
      <c r="AD15" s="61">
        <f t="shared" si="12"/>
        <v>45486</v>
      </c>
      <c r="AE15">
        <f t="shared" si="1"/>
        <v>207</v>
      </c>
      <c r="AF15">
        <f t="shared" si="2"/>
        <v>207</v>
      </c>
      <c r="AG15">
        <f t="shared" si="3"/>
        <v>187</v>
      </c>
      <c r="AH15">
        <f t="shared" si="4"/>
        <v>187</v>
      </c>
      <c r="AI15">
        <f t="shared" si="5"/>
        <v>187</v>
      </c>
      <c r="AJ15"/>
      <c r="AK15" s="95" t="s">
        <v>249</v>
      </c>
      <c r="AL15" s="95" t="s">
        <v>250</v>
      </c>
      <c r="AM15" s="95" t="s">
        <v>87</v>
      </c>
      <c r="AN15" s="95" t="s">
        <v>84</v>
      </c>
    </row>
    <row r="16" spans="1:40" x14ac:dyDescent="0.25">
      <c r="D16" s="94">
        <f>DATE(EndCalYear,7,1)-WEEKDAY(DATE(EndCalYear,7,1),1)</f>
        <v>45836</v>
      </c>
      <c r="O16" s="61">
        <f t="shared" si="10"/>
        <v>45487</v>
      </c>
      <c r="P16" s="124">
        <f t="shared" si="6"/>
        <v>1</v>
      </c>
      <c r="Q16" s="180" t="s">
        <v>155</v>
      </c>
      <c r="R16" s="61" t="s">
        <v>155</v>
      </c>
      <c r="S16" s="61" t="s">
        <v>155</v>
      </c>
      <c r="T16" s="61" t="s">
        <v>155</v>
      </c>
      <c r="U16" s="61" t="s">
        <v>155</v>
      </c>
      <c r="V16" s="61">
        <f t="shared" si="7"/>
        <v>45487</v>
      </c>
      <c r="W16" s="124">
        <f t="shared" ref="W16" si="22">WEEKDAY(V16)</f>
        <v>1</v>
      </c>
      <c r="AD16" s="61">
        <f t="shared" si="12"/>
        <v>45487</v>
      </c>
      <c r="AE16">
        <f t="shared" si="1"/>
        <v>207</v>
      </c>
      <c r="AF16">
        <f t="shared" si="2"/>
        <v>207</v>
      </c>
      <c r="AG16">
        <f t="shared" si="3"/>
        <v>187</v>
      </c>
      <c r="AH16">
        <f t="shared" si="4"/>
        <v>187</v>
      </c>
      <c r="AI16">
        <f t="shared" si="5"/>
        <v>187</v>
      </c>
      <c r="AJ16"/>
      <c r="AK16" s="95" t="s">
        <v>251</v>
      </c>
      <c r="AL16" s="95" t="s">
        <v>252</v>
      </c>
      <c r="AM16" s="95" t="s">
        <v>253</v>
      </c>
      <c r="AN16" s="95" t="s">
        <v>84</v>
      </c>
    </row>
    <row r="17" spans="15:40" x14ac:dyDescent="0.25">
      <c r="O17" s="61">
        <f t="shared" si="10"/>
        <v>45488</v>
      </c>
      <c r="P17" s="124">
        <f t="shared" si="6"/>
        <v>2</v>
      </c>
      <c r="Q17" s="180" t="s">
        <v>155</v>
      </c>
      <c r="R17" s="61" t="s">
        <v>155</v>
      </c>
      <c r="S17" s="61" t="s">
        <v>155</v>
      </c>
      <c r="T17" s="61" t="s">
        <v>155</v>
      </c>
      <c r="U17" s="61" t="s">
        <v>155</v>
      </c>
      <c r="V17" s="61">
        <f t="shared" si="7"/>
        <v>45488</v>
      </c>
      <c r="W17" s="124">
        <f t="shared" ref="W17" si="23">WEEKDAY(V17)</f>
        <v>2</v>
      </c>
      <c r="AD17" s="61">
        <f t="shared" si="12"/>
        <v>45488</v>
      </c>
      <c r="AE17">
        <f t="shared" si="1"/>
        <v>207</v>
      </c>
      <c r="AF17">
        <f t="shared" si="2"/>
        <v>207</v>
      </c>
      <c r="AG17">
        <f t="shared" si="3"/>
        <v>187</v>
      </c>
      <c r="AH17">
        <f t="shared" si="4"/>
        <v>187</v>
      </c>
      <c r="AI17">
        <f t="shared" si="5"/>
        <v>187</v>
      </c>
      <c r="AJ17"/>
      <c r="AK17" s="95" t="s">
        <v>254</v>
      </c>
      <c r="AL17" s="95" t="s">
        <v>255</v>
      </c>
      <c r="AM17" s="95" t="s">
        <v>204</v>
      </c>
      <c r="AN17" s="95" t="s">
        <v>84</v>
      </c>
    </row>
    <row r="18" spans="15:40" x14ac:dyDescent="0.25">
      <c r="O18" s="61">
        <f t="shared" si="10"/>
        <v>45489</v>
      </c>
      <c r="P18" s="124">
        <f t="shared" si="6"/>
        <v>3</v>
      </c>
      <c r="Q18" s="180" t="s">
        <v>155</v>
      </c>
      <c r="R18" s="61" t="s">
        <v>155</v>
      </c>
      <c r="S18" s="61" t="s">
        <v>155</v>
      </c>
      <c r="T18" s="61" t="s">
        <v>155</v>
      </c>
      <c r="U18" s="61" t="s">
        <v>155</v>
      </c>
      <c r="V18" s="61">
        <f t="shared" si="7"/>
        <v>45489</v>
      </c>
      <c r="W18" s="124">
        <f t="shared" ref="W18" si="24">WEEKDAY(V18)</f>
        <v>3</v>
      </c>
      <c r="AD18" s="61">
        <f t="shared" si="12"/>
        <v>45489</v>
      </c>
      <c r="AE18">
        <f t="shared" si="1"/>
        <v>207</v>
      </c>
      <c r="AF18">
        <f t="shared" si="2"/>
        <v>207</v>
      </c>
      <c r="AG18">
        <f t="shared" si="3"/>
        <v>187</v>
      </c>
      <c r="AH18">
        <f t="shared" si="4"/>
        <v>187</v>
      </c>
      <c r="AI18">
        <f t="shared" si="5"/>
        <v>187</v>
      </c>
      <c r="AJ18"/>
      <c r="AK18" s="95" t="s">
        <v>256</v>
      </c>
      <c r="AL18" s="95" t="s">
        <v>257</v>
      </c>
      <c r="AM18" s="95" t="s">
        <v>124</v>
      </c>
      <c r="AN18" s="95" t="s">
        <v>93</v>
      </c>
    </row>
    <row r="19" spans="15:40" x14ac:dyDescent="0.25">
      <c r="O19" s="61">
        <f t="shared" si="10"/>
        <v>45490</v>
      </c>
      <c r="P19" s="124">
        <f t="shared" si="6"/>
        <v>4</v>
      </c>
      <c r="Q19" s="180" t="s">
        <v>155</v>
      </c>
      <c r="R19" s="61" t="s">
        <v>155</v>
      </c>
      <c r="S19" s="61" t="s">
        <v>155</v>
      </c>
      <c r="T19" s="61" t="s">
        <v>155</v>
      </c>
      <c r="U19" s="61" t="s">
        <v>155</v>
      </c>
      <c r="V19" s="61">
        <f t="shared" si="7"/>
        <v>45490</v>
      </c>
      <c r="W19" s="124">
        <f t="shared" ref="W19" si="25">WEEKDAY(V19)</f>
        <v>4</v>
      </c>
      <c r="AD19" s="61">
        <f t="shared" si="12"/>
        <v>45490</v>
      </c>
      <c r="AE19">
        <f t="shared" si="1"/>
        <v>207</v>
      </c>
      <c r="AF19">
        <f t="shared" si="2"/>
        <v>207</v>
      </c>
      <c r="AG19">
        <f t="shared" si="3"/>
        <v>187</v>
      </c>
      <c r="AH19">
        <f t="shared" si="4"/>
        <v>187</v>
      </c>
      <c r="AI19">
        <f t="shared" si="5"/>
        <v>187</v>
      </c>
      <c r="AJ19"/>
      <c r="AK19" s="95" t="s">
        <v>258</v>
      </c>
      <c r="AL19" s="95" t="s">
        <v>141</v>
      </c>
      <c r="AM19" s="95" t="s">
        <v>141</v>
      </c>
      <c r="AN19" s="95" t="s">
        <v>140</v>
      </c>
    </row>
    <row r="20" spans="15:40" x14ac:dyDescent="0.25">
      <c r="O20" s="61">
        <f t="shared" si="10"/>
        <v>45491</v>
      </c>
      <c r="P20" s="124">
        <f t="shared" si="6"/>
        <v>5</v>
      </c>
      <c r="Q20" s="180" t="s">
        <v>155</v>
      </c>
      <c r="R20" s="61" t="s">
        <v>155</v>
      </c>
      <c r="S20" s="61" t="s">
        <v>155</v>
      </c>
      <c r="T20" s="61" t="s">
        <v>155</v>
      </c>
      <c r="U20" s="61" t="s">
        <v>155</v>
      </c>
      <c r="V20" s="61">
        <f t="shared" si="7"/>
        <v>45491</v>
      </c>
      <c r="W20" s="124">
        <f t="shared" ref="W20" si="26">WEEKDAY(V20)</f>
        <v>5</v>
      </c>
      <c r="AD20" s="61">
        <f t="shared" si="12"/>
        <v>45491</v>
      </c>
      <c r="AE20">
        <f t="shared" si="1"/>
        <v>207</v>
      </c>
      <c r="AF20">
        <f t="shared" si="2"/>
        <v>207</v>
      </c>
      <c r="AG20">
        <f t="shared" si="3"/>
        <v>187</v>
      </c>
      <c r="AH20">
        <f t="shared" si="4"/>
        <v>187</v>
      </c>
      <c r="AI20">
        <f t="shared" si="5"/>
        <v>187</v>
      </c>
      <c r="AJ20"/>
      <c r="AK20" s="95" t="s">
        <v>259</v>
      </c>
      <c r="AL20" s="95" t="s">
        <v>260</v>
      </c>
      <c r="AM20" s="95" t="s">
        <v>102</v>
      </c>
      <c r="AN20" s="95" t="s">
        <v>93</v>
      </c>
    </row>
    <row r="21" spans="15:40" x14ac:dyDescent="0.25">
      <c r="O21" s="61">
        <f t="shared" si="10"/>
        <v>45492</v>
      </c>
      <c r="P21" s="124">
        <f t="shared" si="6"/>
        <v>6</v>
      </c>
      <c r="Q21" s="180" t="s">
        <v>155</v>
      </c>
      <c r="R21" s="61" t="s">
        <v>155</v>
      </c>
      <c r="S21" s="61" t="s">
        <v>155</v>
      </c>
      <c r="T21" s="61" t="s">
        <v>155</v>
      </c>
      <c r="U21" s="61" t="s">
        <v>155</v>
      </c>
      <c r="V21" s="61">
        <f t="shared" si="7"/>
        <v>45492</v>
      </c>
      <c r="W21" s="124">
        <f t="shared" ref="W21" si="27">WEEKDAY(V21)</f>
        <v>6</v>
      </c>
      <c r="AD21" s="61">
        <f t="shared" si="12"/>
        <v>45492</v>
      </c>
      <c r="AE21">
        <f t="shared" si="1"/>
        <v>207</v>
      </c>
      <c r="AF21">
        <f t="shared" si="2"/>
        <v>207</v>
      </c>
      <c r="AG21">
        <f t="shared" si="3"/>
        <v>187</v>
      </c>
      <c r="AH21">
        <f t="shared" si="4"/>
        <v>187</v>
      </c>
      <c r="AI21">
        <f t="shared" si="5"/>
        <v>187</v>
      </c>
      <c r="AJ21"/>
      <c r="AK21" s="95" t="s">
        <v>261</v>
      </c>
      <c r="AL21" s="95" t="s">
        <v>262</v>
      </c>
      <c r="AM21" s="95" t="s">
        <v>92</v>
      </c>
      <c r="AN21" s="95" t="s">
        <v>93</v>
      </c>
    </row>
    <row r="22" spans="15:40" x14ac:dyDescent="0.25">
      <c r="O22" s="61">
        <f t="shared" si="10"/>
        <v>45493</v>
      </c>
      <c r="P22" s="124">
        <f t="shared" si="6"/>
        <v>7</v>
      </c>
      <c r="Q22" s="180" t="s">
        <v>155</v>
      </c>
      <c r="R22" s="61" t="s">
        <v>155</v>
      </c>
      <c r="S22" s="61" t="s">
        <v>155</v>
      </c>
      <c r="T22" s="61" t="s">
        <v>155</v>
      </c>
      <c r="U22" s="61" t="s">
        <v>155</v>
      </c>
      <c r="V22" s="61">
        <f t="shared" si="7"/>
        <v>45493</v>
      </c>
      <c r="W22" s="124">
        <f t="shared" ref="W22" si="28">WEEKDAY(V22)</f>
        <v>7</v>
      </c>
      <c r="AD22" s="61">
        <f t="shared" si="12"/>
        <v>45493</v>
      </c>
      <c r="AE22">
        <f t="shared" si="1"/>
        <v>207</v>
      </c>
      <c r="AF22">
        <f t="shared" si="2"/>
        <v>207</v>
      </c>
      <c r="AG22">
        <f t="shared" si="3"/>
        <v>187</v>
      </c>
      <c r="AH22">
        <f t="shared" si="4"/>
        <v>187</v>
      </c>
      <c r="AI22">
        <f t="shared" si="5"/>
        <v>187</v>
      </c>
      <c r="AJ22"/>
      <c r="AK22" s="95" t="s">
        <v>263</v>
      </c>
      <c r="AL22" s="95" t="s">
        <v>264</v>
      </c>
      <c r="AM22" s="95" t="s">
        <v>205</v>
      </c>
      <c r="AN22" s="95" t="s">
        <v>84</v>
      </c>
    </row>
    <row r="23" spans="15:40" x14ac:dyDescent="0.25">
      <c r="O23" s="61">
        <f t="shared" si="10"/>
        <v>45494</v>
      </c>
      <c r="P23" s="124">
        <f t="shared" si="6"/>
        <v>1</v>
      </c>
      <c r="Q23" s="180" t="s">
        <v>155</v>
      </c>
      <c r="R23" s="61" t="s">
        <v>155</v>
      </c>
      <c r="S23" s="61" t="s">
        <v>155</v>
      </c>
      <c r="T23" s="61" t="s">
        <v>155</v>
      </c>
      <c r="U23" s="61" t="s">
        <v>155</v>
      </c>
      <c r="V23" s="61">
        <f t="shared" si="7"/>
        <v>45494</v>
      </c>
      <c r="W23" s="124">
        <f t="shared" ref="W23" si="29">WEEKDAY(V23)</f>
        <v>1</v>
      </c>
      <c r="AD23" s="61">
        <f t="shared" si="12"/>
        <v>45494</v>
      </c>
      <c r="AE23">
        <f t="shared" si="1"/>
        <v>207</v>
      </c>
      <c r="AF23">
        <f t="shared" si="2"/>
        <v>207</v>
      </c>
      <c r="AG23">
        <f t="shared" si="3"/>
        <v>187</v>
      </c>
      <c r="AH23">
        <f t="shared" si="4"/>
        <v>187</v>
      </c>
      <c r="AI23">
        <f t="shared" si="5"/>
        <v>187</v>
      </c>
      <c r="AJ23"/>
      <c r="AK23" s="95" t="s">
        <v>265</v>
      </c>
      <c r="AL23" s="95" t="s">
        <v>266</v>
      </c>
      <c r="AM23" s="95" t="s">
        <v>127</v>
      </c>
      <c r="AN23" s="95" t="s">
        <v>93</v>
      </c>
    </row>
    <row r="24" spans="15:40" x14ac:dyDescent="0.25">
      <c r="O24" s="61">
        <f t="shared" si="10"/>
        <v>45495</v>
      </c>
      <c r="P24" s="124">
        <f t="shared" si="6"/>
        <v>2</v>
      </c>
      <c r="Q24" s="180" t="s">
        <v>155</v>
      </c>
      <c r="R24" s="61" t="s">
        <v>155</v>
      </c>
      <c r="S24" s="61" t="s">
        <v>155</v>
      </c>
      <c r="T24" s="61" t="s">
        <v>155</v>
      </c>
      <c r="U24" s="61" t="s">
        <v>155</v>
      </c>
      <c r="V24" s="61">
        <f t="shared" si="7"/>
        <v>45495</v>
      </c>
      <c r="W24" s="124">
        <f t="shared" ref="W24" si="30">WEEKDAY(V24)</f>
        <v>2</v>
      </c>
      <c r="AD24" s="61">
        <f t="shared" si="12"/>
        <v>45495</v>
      </c>
      <c r="AE24">
        <f t="shared" si="1"/>
        <v>207</v>
      </c>
      <c r="AF24">
        <f t="shared" si="2"/>
        <v>207</v>
      </c>
      <c r="AG24">
        <f t="shared" si="3"/>
        <v>187</v>
      </c>
      <c r="AH24">
        <f t="shared" si="4"/>
        <v>187</v>
      </c>
      <c r="AI24">
        <f t="shared" si="5"/>
        <v>187</v>
      </c>
      <c r="AJ24"/>
      <c r="AK24" s="95" t="s">
        <v>267</v>
      </c>
      <c r="AL24" s="95" t="s">
        <v>268</v>
      </c>
      <c r="AM24" s="95" t="s">
        <v>90</v>
      </c>
      <c r="AN24" s="95" t="s">
        <v>84</v>
      </c>
    </row>
    <row r="25" spans="15:40" x14ac:dyDescent="0.25">
      <c r="O25" s="61">
        <f t="shared" si="10"/>
        <v>45496</v>
      </c>
      <c r="P25" s="124">
        <f t="shared" si="6"/>
        <v>3</v>
      </c>
      <c r="Q25" s="180" t="s">
        <v>155</v>
      </c>
      <c r="R25" s="61" t="s">
        <v>155</v>
      </c>
      <c r="S25" s="61" t="s">
        <v>155</v>
      </c>
      <c r="T25" s="61" t="s">
        <v>155</v>
      </c>
      <c r="U25" s="61" t="s">
        <v>155</v>
      </c>
      <c r="V25" s="61">
        <f t="shared" si="7"/>
        <v>45496</v>
      </c>
      <c r="W25" s="124">
        <f t="shared" ref="W25" si="31">WEEKDAY(V25)</f>
        <v>3</v>
      </c>
      <c r="AD25" s="61">
        <f t="shared" si="12"/>
        <v>45496</v>
      </c>
      <c r="AE25">
        <f t="shared" si="1"/>
        <v>207</v>
      </c>
      <c r="AF25">
        <f t="shared" si="2"/>
        <v>207</v>
      </c>
      <c r="AG25">
        <f t="shared" si="3"/>
        <v>187</v>
      </c>
      <c r="AH25">
        <f t="shared" si="4"/>
        <v>187</v>
      </c>
      <c r="AI25">
        <f t="shared" si="5"/>
        <v>187</v>
      </c>
      <c r="AJ25"/>
      <c r="AK25" s="95" t="s">
        <v>269</v>
      </c>
      <c r="AL25" s="95" t="s">
        <v>270</v>
      </c>
      <c r="AM25" s="95" t="s">
        <v>206</v>
      </c>
      <c r="AN25" s="95" t="s">
        <v>84</v>
      </c>
    </row>
    <row r="26" spans="15:40" x14ac:dyDescent="0.25">
      <c r="O26" s="61">
        <f t="shared" si="10"/>
        <v>45497</v>
      </c>
      <c r="P26" s="124">
        <f t="shared" si="6"/>
        <v>4</v>
      </c>
      <c r="Q26" s="180" t="s">
        <v>177</v>
      </c>
      <c r="R26" s="180" t="s">
        <v>177</v>
      </c>
      <c r="S26" s="61" t="s">
        <v>177</v>
      </c>
      <c r="T26" s="61" t="s">
        <v>177</v>
      </c>
      <c r="U26" s="61" t="s">
        <v>177</v>
      </c>
      <c r="V26" s="61">
        <f t="shared" si="7"/>
        <v>45497</v>
      </c>
      <c r="W26" s="124">
        <f t="shared" ref="W26" si="32">WEEKDAY(V26)</f>
        <v>4</v>
      </c>
      <c r="AD26" s="61">
        <f t="shared" si="12"/>
        <v>45497</v>
      </c>
      <c r="AE26">
        <f t="shared" si="1"/>
        <v>207</v>
      </c>
      <c r="AF26">
        <f t="shared" si="2"/>
        <v>207</v>
      </c>
      <c r="AG26">
        <f t="shared" si="3"/>
        <v>187</v>
      </c>
      <c r="AH26">
        <f t="shared" si="4"/>
        <v>187</v>
      </c>
      <c r="AI26">
        <f t="shared" si="5"/>
        <v>187</v>
      </c>
      <c r="AJ26"/>
      <c r="AK26" s="95" t="s">
        <v>271</v>
      </c>
      <c r="AL26" s="95" t="s">
        <v>272</v>
      </c>
      <c r="AM26" s="95" t="s">
        <v>94</v>
      </c>
      <c r="AN26" s="95" t="s">
        <v>93</v>
      </c>
    </row>
    <row r="27" spans="15:40" x14ac:dyDescent="0.25">
      <c r="O27" s="61">
        <f t="shared" si="10"/>
        <v>45498</v>
      </c>
      <c r="P27" s="124">
        <f t="shared" si="6"/>
        <v>5</v>
      </c>
      <c r="Q27" s="180">
        <f t="shared" ref="Q27:R42" si="33">IF(OR($P27=2,$P27=3,$P27=4,$P27=5,$P27=6),1,"")</f>
        <v>1</v>
      </c>
      <c r="R27" s="180">
        <f t="shared" si="33"/>
        <v>1</v>
      </c>
      <c r="S27" s="61" t="s">
        <v>155</v>
      </c>
      <c r="T27" s="61" t="s">
        <v>155</v>
      </c>
      <c r="U27" s="61" t="s">
        <v>155</v>
      </c>
      <c r="V27" s="61">
        <f t="shared" si="7"/>
        <v>45498</v>
      </c>
      <c r="W27" s="124">
        <f t="shared" ref="W27" si="34">WEEKDAY(V27)</f>
        <v>5</v>
      </c>
      <c r="AD27" s="61">
        <f t="shared" si="12"/>
        <v>45498</v>
      </c>
      <c r="AE27">
        <f t="shared" si="1"/>
        <v>206</v>
      </c>
      <c r="AF27">
        <f t="shared" si="2"/>
        <v>206</v>
      </c>
      <c r="AG27">
        <f t="shared" si="3"/>
        <v>187</v>
      </c>
      <c r="AH27">
        <f t="shared" si="4"/>
        <v>187</v>
      </c>
      <c r="AI27">
        <f t="shared" si="5"/>
        <v>187</v>
      </c>
      <c r="AJ27"/>
      <c r="AK27" s="95" t="s">
        <v>273</v>
      </c>
      <c r="AL27" s="95" t="s">
        <v>207</v>
      </c>
      <c r="AM27" s="95" t="s">
        <v>207</v>
      </c>
      <c r="AN27" s="95" t="s">
        <v>84</v>
      </c>
    </row>
    <row r="28" spans="15:40" x14ac:dyDescent="0.25">
      <c r="O28" s="61">
        <f t="shared" si="10"/>
        <v>45499</v>
      </c>
      <c r="P28" s="124">
        <f t="shared" si="6"/>
        <v>6</v>
      </c>
      <c r="Q28" s="180">
        <f t="shared" si="33"/>
        <v>1</v>
      </c>
      <c r="R28" s="180">
        <f t="shared" si="33"/>
        <v>1</v>
      </c>
      <c r="S28" s="61" t="s">
        <v>155</v>
      </c>
      <c r="T28" s="61" t="s">
        <v>155</v>
      </c>
      <c r="U28" s="61" t="s">
        <v>155</v>
      </c>
      <c r="V28" s="61">
        <f t="shared" si="7"/>
        <v>45499</v>
      </c>
      <c r="W28" s="124">
        <f t="shared" ref="W28" si="35">WEEKDAY(V28)</f>
        <v>6</v>
      </c>
      <c r="AD28" s="61">
        <f t="shared" si="12"/>
        <v>45499</v>
      </c>
      <c r="AE28">
        <f t="shared" si="1"/>
        <v>205</v>
      </c>
      <c r="AF28">
        <f t="shared" si="2"/>
        <v>205</v>
      </c>
      <c r="AG28">
        <f t="shared" si="3"/>
        <v>187</v>
      </c>
      <c r="AH28">
        <f t="shared" si="4"/>
        <v>187</v>
      </c>
      <c r="AI28">
        <f t="shared" si="5"/>
        <v>187</v>
      </c>
      <c r="AJ28"/>
      <c r="AK28" s="95" t="s">
        <v>274</v>
      </c>
      <c r="AL28" s="95" t="s">
        <v>275</v>
      </c>
      <c r="AM28" s="95" t="s">
        <v>208</v>
      </c>
      <c r="AN28" s="95" t="s">
        <v>84</v>
      </c>
    </row>
    <row r="29" spans="15:40" x14ac:dyDescent="0.25">
      <c r="O29" s="61">
        <f t="shared" si="10"/>
        <v>45500</v>
      </c>
      <c r="P29" s="124">
        <f t="shared" si="6"/>
        <v>7</v>
      </c>
      <c r="Q29" s="180" t="str">
        <f t="shared" si="33"/>
        <v/>
      </c>
      <c r="R29" s="180" t="str">
        <f t="shared" si="33"/>
        <v/>
      </c>
      <c r="S29" s="61" t="s">
        <v>155</v>
      </c>
      <c r="T29" s="61" t="s">
        <v>155</v>
      </c>
      <c r="U29" s="61" t="s">
        <v>155</v>
      </c>
      <c r="V29" s="61">
        <f t="shared" si="7"/>
        <v>45500</v>
      </c>
      <c r="W29" s="124">
        <f t="shared" ref="W29" si="36">WEEKDAY(V29)</f>
        <v>7</v>
      </c>
      <c r="AD29" s="61">
        <f t="shared" si="12"/>
        <v>45500</v>
      </c>
      <c r="AE29">
        <f t="shared" si="1"/>
        <v>205</v>
      </c>
      <c r="AF29">
        <f t="shared" si="2"/>
        <v>205</v>
      </c>
      <c r="AG29">
        <f t="shared" si="3"/>
        <v>187</v>
      </c>
      <c r="AH29">
        <f t="shared" si="4"/>
        <v>187</v>
      </c>
      <c r="AI29">
        <f t="shared" si="5"/>
        <v>187</v>
      </c>
      <c r="AJ29"/>
      <c r="AK29" s="95" t="s">
        <v>276</v>
      </c>
      <c r="AL29" s="95" t="s">
        <v>277</v>
      </c>
      <c r="AM29" s="95" t="s">
        <v>125</v>
      </c>
      <c r="AN29" s="95" t="s">
        <v>93</v>
      </c>
    </row>
    <row r="30" spans="15:40" x14ac:dyDescent="0.25">
      <c r="O30" s="61">
        <f t="shared" si="10"/>
        <v>45501</v>
      </c>
      <c r="P30" s="124">
        <f t="shared" si="6"/>
        <v>1</v>
      </c>
      <c r="Q30" s="180" t="str">
        <f t="shared" si="33"/>
        <v/>
      </c>
      <c r="R30" s="180" t="str">
        <f t="shared" si="33"/>
        <v/>
      </c>
      <c r="S30" s="61" t="s">
        <v>155</v>
      </c>
      <c r="T30" s="61" t="s">
        <v>155</v>
      </c>
      <c r="U30" s="61" t="s">
        <v>155</v>
      </c>
      <c r="V30" s="61">
        <f t="shared" si="7"/>
        <v>45501</v>
      </c>
      <c r="W30" s="124">
        <f t="shared" ref="W30" si="37">WEEKDAY(V30)</f>
        <v>1</v>
      </c>
      <c r="AD30" s="61">
        <f t="shared" si="12"/>
        <v>45501</v>
      </c>
      <c r="AE30">
        <f t="shared" si="1"/>
        <v>205</v>
      </c>
      <c r="AF30">
        <f t="shared" si="2"/>
        <v>205</v>
      </c>
      <c r="AG30">
        <f t="shared" si="3"/>
        <v>187</v>
      </c>
      <c r="AH30">
        <f t="shared" si="4"/>
        <v>187</v>
      </c>
      <c r="AI30">
        <f t="shared" si="5"/>
        <v>187</v>
      </c>
      <c r="AJ30"/>
      <c r="AK30" s="95" t="s">
        <v>278</v>
      </c>
      <c r="AL30" s="95" t="s">
        <v>279</v>
      </c>
      <c r="AM30" s="95" t="s">
        <v>139</v>
      </c>
      <c r="AN30" s="95" t="s">
        <v>140</v>
      </c>
    </row>
    <row r="31" spans="15:40" x14ac:dyDescent="0.25">
      <c r="O31" s="61">
        <f t="shared" si="10"/>
        <v>45502</v>
      </c>
      <c r="P31" s="124">
        <f t="shared" si="6"/>
        <v>2</v>
      </c>
      <c r="Q31" s="180">
        <f t="shared" si="33"/>
        <v>1</v>
      </c>
      <c r="R31" s="180">
        <f t="shared" si="33"/>
        <v>1</v>
      </c>
      <c r="S31" s="61" t="s">
        <v>155</v>
      </c>
      <c r="T31" s="61" t="s">
        <v>155</v>
      </c>
      <c r="U31" s="61" t="s">
        <v>155</v>
      </c>
      <c r="V31" s="61">
        <f t="shared" si="7"/>
        <v>45502</v>
      </c>
      <c r="W31" s="124">
        <f t="shared" ref="W31" si="38">WEEKDAY(V31)</f>
        <v>2</v>
      </c>
      <c r="AD31" s="61">
        <f t="shared" si="12"/>
        <v>45502</v>
      </c>
      <c r="AE31">
        <f t="shared" si="1"/>
        <v>204</v>
      </c>
      <c r="AF31">
        <f t="shared" si="2"/>
        <v>204</v>
      </c>
      <c r="AG31">
        <f t="shared" si="3"/>
        <v>187</v>
      </c>
      <c r="AH31">
        <f t="shared" si="4"/>
        <v>187</v>
      </c>
      <c r="AI31">
        <f t="shared" si="5"/>
        <v>187</v>
      </c>
      <c r="AJ31"/>
      <c r="AK31" s="95" t="s">
        <v>280</v>
      </c>
      <c r="AL31" s="95" t="s">
        <v>281</v>
      </c>
      <c r="AM31" s="95" t="s">
        <v>138</v>
      </c>
      <c r="AN31" s="95" t="s">
        <v>129</v>
      </c>
    </row>
    <row r="32" spans="15:40" x14ac:dyDescent="0.25">
      <c r="O32" s="61">
        <f t="shared" si="10"/>
        <v>45503</v>
      </c>
      <c r="P32" s="124">
        <f t="shared" si="6"/>
        <v>3</v>
      </c>
      <c r="Q32" s="180">
        <f t="shared" si="33"/>
        <v>1</v>
      </c>
      <c r="R32" s="180">
        <f t="shared" si="33"/>
        <v>1</v>
      </c>
      <c r="S32" s="61" t="s">
        <v>155</v>
      </c>
      <c r="T32" s="61" t="s">
        <v>155</v>
      </c>
      <c r="U32" s="61" t="s">
        <v>155</v>
      </c>
      <c r="V32" s="61">
        <f t="shared" si="7"/>
        <v>45503</v>
      </c>
      <c r="W32" s="124">
        <f t="shared" ref="W32" si="39">WEEKDAY(V32)</f>
        <v>3</v>
      </c>
      <c r="AD32" s="61">
        <f t="shared" si="12"/>
        <v>45503</v>
      </c>
      <c r="AE32">
        <f t="shared" si="1"/>
        <v>203</v>
      </c>
      <c r="AF32">
        <f t="shared" si="2"/>
        <v>203</v>
      </c>
      <c r="AG32">
        <f t="shared" si="3"/>
        <v>187</v>
      </c>
      <c r="AH32">
        <f t="shared" si="4"/>
        <v>187</v>
      </c>
      <c r="AI32">
        <f t="shared" si="5"/>
        <v>187</v>
      </c>
      <c r="AJ32"/>
      <c r="AK32" s="95" t="s">
        <v>282</v>
      </c>
      <c r="AL32" s="95" t="s">
        <v>283</v>
      </c>
      <c r="AM32" s="95" t="s">
        <v>209</v>
      </c>
      <c r="AN32" s="95" t="s">
        <v>84</v>
      </c>
    </row>
    <row r="33" spans="15:40" x14ac:dyDescent="0.25">
      <c r="O33" s="61">
        <f t="shared" si="10"/>
        <v>45504</v>
      </c>
      <c r="P33" s="124">
        <f t="shared" si="6"/>
        <v>4</v>
      </c>
      <c r="Q33" s="180">
        <f t="shared" si="33"/>
        <v>1</v>
      </c>
      <c r="R33" s="180">
        <f t="shared" si="33"/>
        <v>1</v>
      </c>
      <c r="S33" s="61" t="s">
        <v>155</v>
      </c>
      <c r="T33" s="61" t="s">
        <v>155</v>
      </c>
      <c r="U33" s="61" t="s">
        <v>155</v>
      </c>
      <c r="V33" s="61">
        <f t="shared" si="7"/>
        <v>45504</v>
      </c>
      <c r="W33" s="124">
        <f t="shared" ref="W33" si="40">WEEKDAY(V33)</f>
        <v>4</v>
      </c>
      <c r="AD33" s="61">
        <f t="shared" si="12"/>
        <v>45504</v>
      </c>
      <c r="AE33">
        <f t="shared" si="1"/>
        <v>202</v>
      </c>
      <c r="AF33">
        <f t="shared" si="2"/>
        <v>202</v>
      </c>
      <c r="AG33">
        <f t="shared" si="3"/>
        <v>187</v>
      </c>
      <c r="AH33">
        <f t="shared" si="4"/>
        <v>187</v>
      </c>
      <c r="AI33">
        <f t="shared" si="5"/>
        <v>187</v>
      </c>
      <c r="AJ33"/>
      <c r="AK33" s="95" t="s">
        <v>284</v>
      </c>
      <c r="AL33" s="95" t="s">
        <v>285</v>
      </c>
      <c r="AM33" s="95" t="s">
        <v>210</v>
      </c>
      <c r="AN33" s="95" t="s">
        <v>84</v>
      </c>
    </row>
    <row r="34" spans="15:40" x14ac:dyDescent="0.25">
      <c r="O34" s="61">
        <f t="shared" si="10"/>
        <v>45505</v>
      </c>
      <c r="P34" s="124">
        <f t="shared" si="6"/>
        <v>5</v>
      </c>
      <c r="Q34" s="180">
        <f t="shared" si="33"/>
        <v>1</v>
      </c>
      <c r="R34" s="180">
        <f t="shared" si="33"/>
        <v>1</v>
      </c>
      <c r="S34" s="61" t="s">
        <v>155</v>
      </c>
      <c r="T34" s="61" t="s">
        <v>155</v>
      </c>
      <c r="U34" s="61" t="s">
        <v>155</v>
      </c>
      <c r="V34" s="61">
        <f t="shared" si="7"/>
        <v>45505</v>
      </c>
      <c r="W34" s="124">
        <f t="shared" ref="W34" si="41">WEEKDAY(V34)</f>
        <v>5</v>
      </c>
      <c r="AD34" s="61">
        <f t="shared" si="12"/>
        <v>45505</v>
      </c>
      <c r="AE34">
        <f t="shared" si="1"/>
        <v>201</v>
      </c>
      <c r="AF34">
        <f t="shared" si="2"/>
        <v>201</v>
      </c>
      <c r="AG34">
        <f t="shared" si="3"/>
        <v>187</v>
      </c>
      <c r="AH34">
        <f t="shared" si="4"/>
        <v>187</v>
      </c>
      <c r="AI34">
        <f t="shared" si="5"/>
        <v>187</v>
      </c>
      <c r="AJ34"/>
      <c r="AK34" s="95" t="s">
        <v>286</v>
      </c>
      <c r="AL34" s="95" t="s">
        <v>287</v>
      </c>
      <c r="AM34" s="95" t="s">
        <v>96</v>
      </c>
      <c r="AN34" s="95" t="s">
        <v>93</v>
      </c>
    </row>
    <row r="35" spans="15:40" x14ac:dyDescent="0.25">
      <c r="O35" s="61">
        <f t="shared" si="10"/>
        <v>45506</v>
      </c>
      <c r="P35" s="124">
        <f t="shared" si="6"/>
        <v>6</v>
      </c>
      <c r="Q35" s="180">
        <f t="shared" si="33"/>
        <v>1</v>
      </c>
      <c r="R35" s="180">
        <f t="shared" si="33"/>
        <v>1</v>
      </c>
      <c r="S35" s="61" t="s">
        <v>155</v>
      </c>
      <c r="T35" s="61" t="s">
        <v>155</v>
      </c>
      <c r="U35" s="61" t="s">
        <v>155</v>
      </c>
      <c r="V35" s="61">
        <f t="shared" si="7"/>
        <v>45506</v>
      </c>
      <c r="W35" s="124">
        <f t="shared" ref="W35" si="42">WEEKDAY(V35)</f>
        <v>6</v>
      </c>
      <c r="AD35" s="61">
        <f t="shared" si="12"/>
        <v>45506</v>
      </c>
      <c r="AE35">
        <f t="shared" si="1"/>
        <v>200</v>
      </c>
      <c r="AF35">
        <f t="shared" si="2"/>
        <v>200</v>
      </c>
      <c r="AG35">
        <f t="shared" si="3"/>
        <v>187</v>
      </c>
      <c r="AH35">
        <f t="shared" si="4"/>
        <v>187</v>
      </c>
      <c r="AI35">
        <f t="shared" si="5"/>
        <v>187</v>
      </c>
      <c r="AJ35"/>
      <c r="AK35" s="95" t="s">
        <v>288</v>
      </c>
      <c r="AL35" s="95" t="s">
        <v>289</v>
      </c>
      <c r="AM35" s="95" t="s">
        <v>211</v>
      </c>
      <c r="AN35" s="95" t="s">
        <v>84</v>
      </c>
    </row>
    <row r="36" spans="15:40" x14ac:dyDescent="0.25">
      <c r="O36" s="61">
        <f t="shared" si="10"/>
        <v>45507</v>
      </c>
      <c r="P36" s="124">
        <f t="shared" si="6"/>
        <v>7</v>
      </c>
      <c r="Q36" s="180" t="str">
        <f t="shared" si="33"/>
        <v/>
      </c>
      <c r="R36" s="180" t="str">
        <f t="shared" si="33"/>
        <v/>
      </c>
      <c r="S36" s="61" t="s">
        <v>155</v>
      </c>
      <c r="T36" s="61" t="s">
        <v>155</v>
      </c>
      <c r="U36" s="61" t="s">
        <v>155</v>
      </c>
      <c r="V36" s="61">
        <f t="shared" si="7"/>
        <v>45507</v>
      </c>
      <c r="W36" s="124">
        <f t="shared" ref="W36" si="43">WEEKDAY(V36)</f>
        <v>7</v>
      </c>
      <c r="AD36" s="61">
        <f t="shared" si="12"/>
        <v>45507</v>
      </c>
      <c r="AE36">
        <f t="shared" si="1"/>
        <v>200</v>
      </c>
      <c r="AF36">
        <f t="shared" si="2"/>
        <v>200</v>
      </c>
      <c r="AG36">
        <f t="shared" si="3"/>
        <v>187</v>
      </c>
      <c r="AH36">
        <f t="shared" si="4"/>
        <v>187</v>
      </c>
      <c r="AI36">
        <f t="shared" si="5"/>
        <v>187</v>
      </c>
      <c r="AJ36"/>
      <c r="AK36" s="95" t="s">
        <v>290</v>
      </c>
      <c r="AL36" s="95" t="s">
        <v>291</v>
      </c>
      <c r="AM36" s="95" t="s">
        <v>98</v>
      </c>
      <c r="AN36" s="95" t="s">
        <v>93</v>
      </c>
    </row>
    <row r="37" spans="15:40" x14ac:dyDescent="0.25">
      <c r="O37" s="61">
        <f t="shared" si="10"/>
        <v>45508</v>
      </c>
      <c r="P37" s="124">
        <f t="shared" si="6"/>
        <v>1</v>
      </c>
      <c r="Q37" s="180" t="str">
        <f t="shared" si="33"/>
        <v/>
      </c>
      <c r="R37" s="180" t="str">
        <f t="shared" si="33"/>
        <v/>
      </c>
      <c r="S37" s="61" t="s">
        <v>155</v>
      </c>
      <c r="T37" s="61" t="s">
        <v>155</v>
      </c>
      <c r="U37" s="61" t="s">
        <v>155</v>
      </c>
      <c r="V37" s="61">
        <f t="shared" si="7"/>
        <v>45508</v>
      </c>
      <c r="W37" s="124">
        <f t="shared" ref="W37" si="44">WEEKDAY(V37)</f>
        <v>1</v>
      </c>
      <c r="AD37" s="61">
        <f t="shared" si="12"/>
        <v>45508</v>
      </c>
      <c r="AE37">
        <f t="shared" si="1"/>
        <v>200</v>
      </c>
      <c r="AF37">
        <f t="shared" si="2"/>
        <v>200</v>
      </c>
      <c r="AG37">
        <f t="shared" si="3"/>
        <v>187</v>
      </c>
      <c r="AH37">
        <f t="shared" si="4"/>
        <v>187</v>
      </c>
      <c r="AI37">
        <f t="shared" si="5"/>
        <v>187</v>
      </c>
      <c r="AJ37"/>
      <c r="AK37" s="95" t="s">
        <v>292</v>
      </c>
      <c r="AL37" s="95" t="s">
        <v>452</v>
      </c>
      <c r="AM37" s="95" t="s">
        <v>453</v>
      </c>
      <c r="AN37" s="95" t="s">
        <v>84</v>
      </c>
    </row>
    <row r="38" spans="15:40" x14ac:dyDescent="0.25">
      <c r="O38" s="61">
        <f t="shared" si="10"/>
        <v>45509</v>
      </c>
      <c r="P38" s="124">
        <f t="shared" si="6"/>
        <v>2</v>
      </c>
      <c r="Q38" s="180">
        <f t="shared" si="33"/>
        <v>1</v>
      </c>
      <c r="R38" s="180">
        <f t="shared" si="33"/>
        <v>1</v>
      </c>
      <c r="S38" s="61" t="s">
        <v>155</v>
      </c>
      <c r="T38" s="61" t="s">
        <v>155</v>
      </c>
      <c r="U38" s="61" t="s">
        <v>155</v>
      </c>
      <c r="V38" s="61">
        <f t="shared" si="7"/>
        <v>45509</v>
      </c>
      <c r="W38" s="124">
        <f t="shared" ref="W38" si="45">WEEKDAY(V38)</f>
        <v>2</v>
      </c>
      <c r="AD38" s="61">
        <f t="shared" si="12"/>
        <v>45509</v>
      </c>
      <c r="AE38">
        <f t="shared" si="1"/>
        <v>199</v>
      </c>
      <c r="AF38">
        <f t="shared" si="2"/>
        <v>199</v>
      </c>
      <c r="AG38">
        <f t="shared" si="3"/>
        <v>187</v>
      </c>
      <c r="AH38">
        <f t="shared" si="4"/>
        <v>187</v>
      </c>
      <c r="AI38">
        <f t="shared" si="5"/>
        <v>187</v>
      </c>
      <c r="AJ38"/>
      <c r="AK38" s="95" t="s">
        <v>293</v>
      </c>
      <c r="AL38" s="95" t="s">
        <v>294</v>
      </c>
      <c r="AM38" s="95" t="s">
        <v>101</v>
      </c>
      <c r="AN38" s="95" t="s">
        <v>93</v>
      </c>
    </row>
    <row r="39" spans="15:40" x14ac:dyDescent="0.25">
      <c r="O39" s="61">
        <f t="shared" si="10"/>
        <v>45510</v>
      </c>
      <c r="P39" s="124">
        <f t="shared" si="6"/>
        <v>3</v>
      </c>
      <c r="Q39" s="180">
        <f t="shared" si="33"/>
        <v>1</v>
      </c>
      <c r="R39" s="180">
        <f t="shared" si="33"/>
        <v>1</v>
      </c>
      <c r="S39" s="61" t="s">
        <v>155</v>
      </c>
      <c r="T39" s="61" t="s">
        <v>155</v>
      </c>
      <c r="U39" s="61" t="s">
        <v>155</v>
      </c>
      <c r="V39" s="61">
        <f t="shared" si="7"/>
        <v>45510</v>
      </c>
      <c r="W39" s="124">
        <f t="shared" ref="W39" si="46">WEEKDAY(V39)</f>
        <v>3</v>
      </c>
      <c r="AD39" s="61">
        <f t="shared" si="12"/>
        <v>45510</v>
      </c>
      <c r="AE39">
        <f t="shared" si="1"/>
        <v>198</v>
      </c>
      <c r="AF39">
        <f t="shared" si="2"/>
        <v>198</v>
      </c>
      <c r="AG39">
        <f t="shared" si="3"/>
        <v>187</v>
      </c>
      <c r="AH39">
        <f t="shared" si="4"/>
        <v>187</v>
      </c>
      <c r="AI39">
        <f t="shared" si="5"/>
        <v>187</v>
      </c>
      <c r="AJ39"/>
      <c r="AK39" s="95" t="s">
        <v>295</v>
      </c>
      <c r="AL39" s="95" t="s">
        <v>296</v>
      </c>
      <c r="AM39" s="95" t="s">
        <v>133</v>
      </c>
      <c r="AN39" s="95" t="s">
        <v>129</v>
      </c>
    </row>
    <row r="40" spans="15:40" x14ac:dyDescent="0.25">
      <c r="O40" s="61">
        <f t="shared" si="10"/>
        <v>45511</v>
      </c>
      <c r="P40" s="124">
        <f t="shared" si="6"/>
        <v>4</v>
      </c>
      <c r="Q40" s="180">
        <f t="shared" si="33"/>
        <v>1</v>
      </c>
      <c r="R40" s="180">
        <f t="shared" si="33"/>
        <v>1</v>
      </c>
      <c r="S40" s="61" t="s">
        <v>155</v>
      </c>
      <c r="T40" s="61" t="s">
        <v>155</v>
      </c>
      <c r="U40" s="61" t="s">
        <v>155</v>
      </c>
      <c r="V40" s="61">
        <f t="shared" si="7"/>
        <v>45511</v>
      </c>
      <c r="W40" s="124">
        <f t="shared" ref="W40" si="47">WEEKDAY(V40)</f>
        <v>4</v>
      </c>
      <c r="AD40" s="61">
        <f t="shared" si="12"/>
        <v>45511</v>
      </c>
      <c r="AE40">
        <f t="shared" si="1"/>
        <v>197</v>
      </c>
      <c r="AF40">
        <f t="shared" si="2"/>
        <v>197</v>
      </c>
      <c r="AG40">
        <f t="shared" si="3"/>
        <v>187</v>
      </c>
      <c r="AH40">
        <f t="shared" si="4"/>
        <v>187</v>
      </c>
      <c r="AI40">
        <f t="shared" si="5"/>
        <v>187</v>
      </c>
      <c r="AJ40"/>
      <c r="AK40" s="95" t="s">
        <v>297</v>
      </c>
      <c r="AL40" s="95" t="s">
        <v>212</v>
      </c>
      <c r="AM40" s="95" t="s">
        <v>212</v>
      </c>
      <c r="AN40" s="95" t="s">
        <v>84</v>
      </c>
    </row>
    <row r="41" spans="15:40" x14ac:dyDescent="0.25">
      <c r="O41" s="61">
        <f t="shared" si="10"/>
        <v>45512</v>
      </c>
      <c r="P41" s="124">
        <f t="shared" si="6"/>
        <v>5</v>
      </c>
      <c r="Q41" s="180">
        <f t="shared" si="33"/>
        <v>1</v>
      </c>
      <c r="R41" s="180">
        <f t="shared" si="33"/>
        <v>1</v>
      </c>
      <c r="S41" s="61" t="s">
        <v>155</v>
      </c>
      <c r="T41" s="61" t="s">
        <v>155</v>
      </c>
      <c r="U41" s="61" t="s">
        <v>155</v>
      </c>
      <c r="V41" s="61">
        <f t="shared" si="7"/>
        <v>45512</v>
      </c>
      <c r="W41" s="124">
        <f t="shared" ref="W41" si="48">WEEKDAY(V41)</f>
        <v>5</v>
      </c>
      <c r="AD41" s="61">
        <f t="shared" si="12"/>
        <v>45512</v>
      </c>
      <c r="AE41">
        <f t="shared" si="1"/>
        <v>196</v>
      </c>
      <c r="AF41">
        <f t="shared" si="2"/>
        <v>196</v>
      </c>
      <c r="AG41">
        <f t="shared" si="3"/>
        <v>187</v>
      </c>
      <c r="AH41">
        <f t="shared" si="4"/>
        <v>187</v>
      </c>
      <c r="AI41">
        <f t="shared" si="5"/>
        <v>187</v>
      </c>
      <c r="AJ41"/>
      <c r="AK41" s="95" t="s">
        <v>298</v>
      </c>
      <c r="AL41" s="95" t="s">
        <v>299</v>
      </c>
      <c r="AM41" s="95" t="s">
        <v>213</v>
      </c>
      <c r="AN41" s="95" t="s">
        <v>84</v>
      </c>
    </row>
    <row r="42" spans="15:40" x14ac:dyDescent="0.25">
      <c r="O42" s="61">
        <f t="shared" si="10"/>
        <v>45513</v>
      </c>
      <c r="P42" s="124">
        <f t="shared" si="6"/>
        <v>6</v>
      </c>
      <c r="Q42" s="180">
        <f t="shared" si="33"/>
        <v>1</v>
      </c>
      <c r="R42" s="180">
        <f t="shared" si="33"/>
        <v>1</v>
      </c>
      <c r="S42" s="61" t="s">
        <v>155</v>
      </c>
      <c r="T42" s="61" t="s">
        <v>155</v>
      </c>
      <c r="U42" s="61" t="s">
        <v>155</v>
      </c>
      <c r="V42" s="61">
        <f t="shared" si="7"/>
        <v>45513</v>
      </c>
      <c r="W42" s="124">
        <f t="shared" ref="W42" si="49">WEEKDAY(V42)</f>
        <v>6</v>
      </c>
      <c r="AD42" s="61">
        <f t="shared" si="12"/>
        <v>45513</v>
      </c>
      <c r="AE42">
        <f t="shared" si="1"/>
        <v>195</v>
      </c>
      <c r="AF42">
        <f t="shared" si="2"/>
        <v>195</v>
      </c>
      <c r="AG42">
        <f t="shared" si="3"/>
        <v>187</v>
      </c>
      <c r="AH42">
        <f t="shared" si="4"/>
        <v>187</v>
      </c>
      <c r="AI42">
        <f t="shared" si="5"/>
        <v>187</v>
      </c>
      <c r="AJ42"/>
      <c r="AK42" s="95" t="s">
        <v>300</v>
      </c>
      <c r="AL42" s="95" t="s">
        <v>301</v>
      </c>
      <c r="AM42" s="95" t="s">
        <v>103</v>
      </c>
      <c r="AN42" s="95" t="s">
        <v>93</v>
      </c>
    </row>
    <row r="43" spans="15:40" x14ac:dyDescent="0.25">
      <c r="O43" s="61">
        <f t="shared" si="10"/>
        <v>45514</v>
      </c>
      <c r="P43" s="124">
        <f t="shared" si="6"/>
        <v>7</v>
      </c>
      <c r="Q43" s="180" t="str">
        <f t="shared" ref="Q43:U96" si="50">IF(OR($P43=2,$P43=3,$P43=4,$P43=5,$P43=6),1,"")</f>
        <v/>
      </c>
      <c r="R43" s="180" t="str">
        <f t="shared" si="50"/>
        <v/>
      </c>
      <c r="S43" s="180" t="s">
        <v>155</v>
      </c>
      <c r="T43" s="180" t="s">
        <v>155</v>
      </c>
      <c r="U43" s="180" t="s">
        <v>155</v>
      </c>
      <c r="V43" s="61">
        <f t="shared" si="7"/>
        <v>45514</v>
      </c>
      <c r="W43" s="124">
        <f t="shared" ref="W43" si="51">WEEKDAY(V43)</f>
        <v>7</v>
      </c>
      <c r="AD43" s="61">
        <f t="shared" si="12"/>
        <v>45514</v>
      </c>
      <c r="AE43">
        <f t="shared" si="1"/>
        <v>195</v>
      </c>
      <c r="AF43">
        <f t="shared" si="2"/>
        <v>195</v>
      </c>
      <c r="AG43">
        <f t="shared" si="3"/>
        <v>187</v>
      </c>
      <c r="AH43">
        <f t="shared" si="4"/>
        <v>187</v>
      </c>
      <c r="AI43">
        <f t="shared" si="5"/>
        <v>187</v>
      </c>
      <c r="AJ43"/>
      <c r="AK43" s="95" t="s">
        <v>302</v>
      </c>
      <c r="AL43" s="95" t="s">
        <v>214</v>
      </c>
      <c r="AM43" s="95" t="s">
        <v>214</v>
      </c>
      <c r="AN43" s="95" t="s">
        <v>84</v>
      </c>
    </row>
    <row r="44" spans="15:40" x14ac:dyDescent="0.25">
      <c r="O44" s="61">
        <f t="shared" si="10"/>
        <v>45515</v>
      </c>
      <c r="P44" s="124">
        <f t="shared" si="6"/>
        <v>1</v>
      </c>
      <c r="Q44" s="180" t="str">
        <f t="shared" si="50"/>
        <v/>
      </c>
      <c r="R44" s="180" t="str">
        <f t="shared" si="50"/>
        <v/>
      </c>
      <c r="S44" s="180" t="s">
        <v>155</v>
      </c>
      <c r="T44" s="180" t="s">
        <v>155</v>
      </c>
      <c r="U44" s="180" t="s">
        <v>155</v>
      </c>
      <c r="V44" s="61">
        <f t="shared" si="7"/>
        <v>45515</v>
      </c>
      <c r="W44" s="124">
        <f t="shared" ref="W44" si="52">WEEKDAY(V44)</f>
        <v>1</v>
      </c>
      <c r="AD44" s="61">
        <f t="shared" si="12"/>
        <v>45515</v>
      </c>
      <c r="AE44">
        <f t="shared" si="1"/>
        <v>195</v>
      </c>
      <c r="AF44">
        <f t="shared" si="2"/>
        <v>195</v>
      </c>
      <c r="AG44">
        <f t="shared" si="3"/>
        <v>187</v>
      </c>
      <c r="AH44">
        <f t="shared" si="4"/>
        <v>187</v>
      </c>
      <c r="AI44">
        <f t="shared" si="5"/>
        <v>187</v>
      </c>
      <c r="AJ44"/>
      <c r="AK44" s="95" t="s">
        <v>303</v>
      </c>
      <c r="AL44" s="95" t="s">
        <v>304</v>
      </c>
      <c r="AM44" s="95" t="s">
        <v>126</v>
      </c>
      <c r="AN44" s="95" t="s">
        <v>93</v>
      </c>
    </row>
    <row r="45" spans="15:40" x14ac:dyDescent="0.25">
      <c r="O45" s="61">
        <f t="shared" si="10"/>
        <v>45516</v>
      </c>
      <c r="P45" s="124">
        <f t="shared" si="6"/>
        <v>2</v>
      </c>
      <c r="Q45" s="180">
        <f t="shared" si="50"/>
        <v>1</v>
      </c>
      <c r="R45" s="180">
        <f t="shared" si="50"/>
        <v>1</v>
      </c>
      <c r="S45" s="180">
        <f t="shared" si="50"/>
        <v>1</v>
      </c>
      <c r="T45" s="180">
        <f t="shared" si="50"/>
        <v>1</v>
      </c>
      <c r="U45" s="180">
        <f t="shared" si="50"/>
        <v>1</v>
      </c>
      <c r="V45" s="61">
        <f t="shared" si="7"/>
        <v>45516</v>
      </c>
      <c r="W45" s="124">
        <f t="shared" ref="W45" si="53">WEEKDAY(V45)</f>
        <v>2</v>
      </c>
      <c r="AD45" s="61">
        <f t="shared" si="12"/>
        <v>45516</v>
      </c>
      <c r="AE45">
        <f t="shared" si="1"/>
        <v>194</v>
      </c>
      <c r="AF45">
        <f t="shared" si="2"/>
        <v>194</v>
      </c>
      <c r="AG45">
        <f t="shared" si="3"/>
        <v>186</v>
      </c>
      <c r="AH45">
        <f t="shared" si="4"/>
        <v>186</v>
      </c>
      <c r="AI45">
        <f t="shared" si="5"/>
        <v>186</v>
      </c>
      <c r="AJ45"/>
      <c r="AK45" s="95" t="s">
        <v>305</v>
      </c>
      <c r="AL45" s="95" t="s">
        <v>306</v>
      </c>
      <c r="AM45" s="95" t="s">
        <v>100</v>
      </c>
      <c r="AN45" s="95" t="s">
        <v>93</v>
      </c>
    </row>
    <row r="46" spans="15:40" x14ac:dyDescent="0.25">
      <c r="O46" s="61">
        <f t="shared" si="10"/>
        <v>45517</v>
      </c>
      <c r="P46" s="124">
        <f t="shared" si="6"/>
        <v>3</v>
      </c>
      <c r="Q46" s="180">
        <f t="shared" si="50"/>
        <v>1</v>
      </c>
      <c r="R46" s="180">
        <f t="shared" si="50"/>
        <v>1</v>
      </c>
      <c r="S46" s="180">
        <f t="shared" si="50"/>
        <v>1</v>
      </c>
      <c r="T46" s="180">
        <f t="shared" si="50"/>
        <v>1</v>
      </c>
      <c r="U46" s="180">
        <f t="shared" si="50"/>
        <v>1</v>
      </c>
      <c r="V46" s="61">
        <f t="shared" si="7"/>
        <v>45517</v>
      </c>
      <c r="W46" s="124">
        <f t="shared" ref="W46" si="54">WEEKDAY(V46)</f>
        <v>3</v>
      </c>
      <c r="AD46" s="61">
        <f t="shared" si="12"/>
        <v>45517</v>
      </c>
      <c r="AE46">
        <f t="shared" si="1"/>
        <v>193</v>
      </c>
      <c r="AF46">
        <f t="shared" si="2"/>
        <v>193</v>
      </c>
      <c r="AG46">
        <f t="shared" si="3"/>
        <v>185</v>
      </c>
      <c r="AH46">
        <f t="shared" si="4"/>
        <v>185</v>
      </c>
      <c r="AI46">
        <f t="shared" si="5"/>
        <v>185</v>
      </c>
      <c r="AJ46"/>
      <c r="AK46" s="95" t="s">
        <v>307</v>
      </c>
      <c r="AL46" s="95" t="s">
        <v>308</v>
      </c>
      <c r="AM46" s="95" t="s">
        <v>137</v>
      </c>
      <c r="AN46" s="95" t="s">
        <v>129</v>
      </c>
    </row>
    <row r="47" spans="15:40" x14ac:dyDescent="0.25">
      <c r="O47" s="61">
        <f t="shared" si="10"/>
        <v>45518</v>
      </c>
      <c r="P47" s="124">
        <f t="shared" si="6"/>
        <v>4</v>
      </c>
      <c r="Q47" s="180">
        <f t="shared" si="50"/>
        <v>1</v>
      </c>
      <c r="R47" s="180">
        <f t="shared" si="50"/>
        <v>1</v>
      </c>
      <c r="S47" s="180">
        <f t="shared" si="50"/>
        <v>1</v>
      </c>
      <c r="T47" s="180">
        <f t="shared" si="50"/>
        <v>1</v>
      </c>
      <c r="U47" s="180">
        <f t="shared" si="50"/>
        <v>1</v>
      </c>
      <c r="V47" s="61">
        <f t="shared" si="7"/>
        <v>45518</v>
      </c>
      <c r="W47" s="124">
        <f t="shared" ref="W47" si="55">WEEKDAY(V47)</f>
        <v>4</v>
      </c>
      <c r="AD47" s="61">
        <f t="shared" si="12"/>
        <v>45518</v>
      </c>
      <c r="AE47">
        <f t="shared" si="1"/>
        <v>192</v>
      </c>
      <c r="AF47">
        <f t="shared" si="2"/>
        <v>192</v>
      </c>
      <c r="AG47">
        <f t="shared" si="3"/>
        <v>184</v>
      </c>
      <c r="AH47">
        <f t="shared" si="4"/>
        <v>184</v>
      </c>
      <c r="AI47">
        <f t="shared" si="5"/>
        <v>184</v>
      </c>
      <c r="AJ47"/>
      <c r="AK47" s="95" t="s">
        <v>309</v>
      </c>
      <c r="AL47" s="95" t="s">
        <v>310</v>
      </c>
      <c r="AM47" s="95" t="s">
        <v>110</v>
      </c>
      <c r="AN47" s="95" t="s">
        <v>93</v>
      </c>
    </row>
    <row r="48" spans="15:40" x14ac:dyDescent="0.25">
      <c r="O48" s="61">
        <f t="shared" si="10"/>
        <v>45519</v>
      </c>
      <c r="P48" s="124">
        <f t="shared" si="6"/>
        <v>5</v>
      </c>
      <c r="Q48" s="180">
        <f t="shared" si="50"/>
        <v>1</v>
      </c>
      <c r="R48" s="180">
        <f t="shared" si="50"/>
        <v>1</v>
      </c>
      <c r="S48" s="180">
        <f t="shared" si="50"/>
        <v>1</v>
      </c>
      <c r="T48" s="180">
        <f t="shared" si="50"/>
        <v>1</v>
      </c>
      <c r="U48" s="180">
        <f t="shared" si="50"/>
        <v>1</v>
      </c>
      <c r="V48" s="61">
        <f t="shared" si="7"/>
        <v>45519</v>
      </c>
      <c r="W48" s="124">
        <f t="shared" ref="W48" si="56">WEEKDAY(V48)</f>
        <v>5</v>
      </c>
      <c r="AD48" s="61">
        <f t="shared" si="12"/>
        <v>45519</v>
      </c>
      <c r="AE48">
        <f t="shared" si="1"/>
        <v>191</v>
      </c>
      <c r="AF48">
        <f t="shared" si="2"/>
        <v>191</v>
      </c>
      <c r="AG48">
        <f t="shared" si="3"/>
        <v>183</v>
      </c>
      <c r="AH48">
        <f t="shared" si="4"/>
        <v>183</v>
      </c>
      <c r="AI48">
        <f t="shared" si="5"/>
        <v>183</v>
      </c>
      <c r="AJ48"/>
      <c r="AK48" s="95" t="s">
        <v>311</v>
      </c>
      <c r="AL48" s="95" t="s">
        <v>89</v>
      </c>
      <c r="AM48" s="95" t="s">
        <v>89</v>
      </c>
      <c r="AN48" s="95" t="s">
        <v>84</v>
      </c>
    </row>
    <row r="49" spans="15:40" x14ac:dyDescent="0.25">
      <c r="O49" s="61">
        <f t="shared" si="10"/>
        <v>45520</v>
      </c>
      <c r="P49" s="124">
        <f t="shared" si="6"/>
        <v>6</v>
      </c>
      <c r="Q49" s="180">
        <f t="shared" si="50"/>
        <v>1</v>
      </c>
      <c r="R49" s="180">
        <f t="shared" si="50"/>
        <v>1</v>
      </c>
      <c r="S49" s="180">
        <f t="shared" si="50"/>
        <v>1</v>
      </c>
      <c r="T49" s="180">
        <f t="shared" si="50"/>
        <v>1</v>
      </c>
      <c r="U49" s="180">
        <f t="shared" si="50"/>
        <v>1</v>
      </c>
      <c r="V49" s="61">
        <f t="shared" si="7"/>
        <v>45520</v>
      </c>
      <c r="W49" s="124">
        <f t="shared" ref="W49" si="57">WEEKDAY(V49)</f>
        <v>6</v>
      </c>
      <c r="AD49" s="61">
        <f t="shared" si="12"/>
        <v>45520</v>
      </c>
      <c r="AE49">
        <f t="shared" si="1"/>
        <v>190</v>
      </c>
      <c r="AF49">
        <f t="shared" si="2"/>
        <v>190</v>
      </c>
      <c r="AG49">
        <f t="shared" si="3"/>
        <v>182</v>
      </c>
      <c r="AH49">
        <f t="shared" si="4"/>
        <v>182</v>
      </c>
      <c r="AI49">
        <f t="shared" si="5"/>
        <v>182</v>
      </c>
      <c r="AJ49"/>
      <c r="AK49" s="95" t="s">
        <v>312</v>
      </c>
      <c r="AL49" s="95" t="s">
        <v>313</v>
      </c>
      <c r="AM49" s="95" t="s">
        <v>104</v>
      </c>
      <c r="AN49" s="95" t="s">
        <v>93</v>
      </c>
    </row>
    <row r="50" spans="15:40" x14ac:dyDescent="0.25">
      <c r="O50" s="61">
        <f t="shared" si="10"/>
        <v>45521</v>
      </c>
      <c r="P50" s="124">
        <f t="shared" si="6"/>
        <v>7</v>
      </c>
      <c r="Q50" s="180" t="str">
        <f t="shared" si="50"/>
        <v/>
      </c>
      <c r="R50" s="180" t="str">
        <f t="shared" si="50"/>
        <v/>
      </c>
      <c r="S50" s="180" t="str">
        <f t="shared" si="50"/>
        <v/>
      </c>
      <c r="T50" s="180" t="str">
        <f t="shared" si="50"/>
        <v/>
      </c>
      <c r="U50" s="180" t="str">
        <f t="shared" si="50"/>
        <v/>
      </c>
      <c r="V50" s="61">
        <f t="shared" si="7"/>
        <v>45521</v>
      </c>
      <c r="W50" s="124">
        <f t="shared" ref="W50" si="58">WEEKDAY(V50)</f>
        <v>7</v>
      </c>
      <c r="AD50" s="61">
        <f t="shared" si="12"/>
        <v>45521</v>
      </c>
      <c r="AE50">
        <f t="shared" si="1"/>
        <v>190</v>
      </c>
      <c r="AF50">
        <f t="shared" si="2"/>
        <v>190</v>
      </c>
      <c r="AG50">
        <f t="shared" si="3"/>
        <v>182</v>
      </c>
      <c r="AH50">
        <f t="shared" si="4"/>
        <v>182</v>
      </c>
      <c r="AI50">
        <f t="shared" si="5"/>
        <v>182</v>
      </c>
      <c r="AJ50"/>
      <c r="AK50" s="95" t="s">
        <v>314</v>
      </c>
      <c r="AL50" s="95" t="s">
        <v>315</v>
      </c>
      <c r="AM50" s="95" t="s">
        <v>215</v>
      </c>
      <c r="AN50" s="95" t="s">
        <v>84</v>
      </c>
    </row>
    <row r="51" spans="15:40" x14ac:dyDescent="0.25">
      <c r="O51" s="61">
        <f t="shared" si="10"/>
        <v>45522</v>
      </c>
      <c r="P51" s="124">
        <f t="shared" si="6"/>
        <v>1</v>
      </c>
      <c r="Q51" s="180" t="str">
        <f t="shared" si="50"/>
        <v/>
      </c>
      <c r="R51" s="180" t="str">
        <f t="shared" si="50"/>
        <v/>
      </c>
      <c r="S51" s="180" t="str">
        <f t="shared" si="50"/>
        <v/>
      </c>
      <c r="T51" s="180" t="str">
        <f t="shared" si="50"/>
        <v/>
      </c>
      <c r="U51" s="180" t="str">
        <f t="shared" si="50"/>
        <v/>
      </c>
      <c r="V51" s="61">
        <f t="shared" si="7"/>
        <v>45522</v>
      </c>
      <c r="W51" s="124">
        <f t="shared" ref="W51" si="59">WEEKDAY(V51)</f>
        <v>1</v>
      </c>
      <c r="AD51" s="61">
        <f t="shared" si="12"/>
        <v>45522</v>
      </c>
      <c r="AE51">
        <f t="shared" si="1"/>
        <v>190</v>
      </c>
      <c r="AF51">
        <f t="shared" si="2"/>
        <v>190</v>
      </c>
      <c r="AG51">
        <f t="shared" si="3"/>
        <v>182</v>
      </c>
      <c r="AH51">
        <f t="shared" si="4"/>
        <v>182</v>
      </c>
      <c r="AI51">
        <f t="shared" si="5"/>
        <v>182</v>
      </c>
      <c r="AJ51"/>
      <c r="AK51" s="95" t="s">
        <v>316</v>
      </c>
      <c r="AL51" s="95" t="s">
        <v>317</v>
      </c>
      <c r="AM51" s="95" t="s">
        <v>105</v>
      </c>
      <c r="AN51" s="95" t="s">
        <v>93</v>
      </c>
    </row>
    <row r="52" spans="15:40" x14ac:dyDescent="0.25">
      <c r="O52" s="61">
        <f t="shared" si="10"/>
        <v>45523</v>
      </c>
      <c r="P52" s="124">
        <f t="shared" si="6"/>
        <v>2</v>
      </c>
      <c r="Q52" s="180">
        <f t="shared" si="50"/>
        <v>1</v>
      </c>
      <c r="R52" s="180">
        <f t="shared" si="50"/>
        <v>1</v>
      </c>
      <c r="S52" s="180">
        <f t="shared" si="50"/>
        <v>1</v>
      </c>
      <c r="T52" s="180">
        <f t="shared" si="50"/>
        <v>1</v>
      </c>
      <c r="U52" s="180">
        <f t="shared" si="50"/>
        <v>1</v>
      </c>
      <c r="V52" s="61">
        <f t="shared" si="7"/>
        <v>45523</v>
      </c>
      <c r="W52" s="124">
        <f t="shared" ref="W52" si="60">WEEKDAY(V52)</f>
        <v>2</v>
      </c>
      <c r="AD52" s="61">
        <f t="shared" si="12"/>
        <v>45523</v>
      </c>
      <c r="AE52">
        <f t="shared" si="1"/>
        <v>189</v>
      </c>
      <c r="AF52">
        <f t="shared" si="2"/>
        <v>189</v>
      </c>
      <c r="AG52">
        <f t="shared" si="3"/>
        <v>181</v>
      </c>
      <c r="AH52">
        <f t="shared" si="4"/>
        <v>181</v>
      </c>
      <c r="AI52">
        <f t="shared" si="5"/>
        <v>181</v>
      </c>
      <c r="AJ52"/>
      <c r="AK52" s="95" t="s">
        <v>318</v>
      </c>
      <c r="AL52" s="95" t="s">
        <v>319</v>
      </c>
      <c r="AM52" s="95" t="s">
        <v>108</v>
      </c>
      <c r="AN52" s="95" t="s">
        <v>93</v>
      </c>
    </row>
    <row r="53" spans="15:40" x14ac:dyDescent="0.25">
      <c r="O53" s="61">
        <f t="shared" si="10"/>
        <v>45524</v>
      </c>
      <c r="P53" s="124">
        <f t="shared" si="6"/>
        <v>3</v>
      </c>
      <c r="Q53" s="180">
        <f t="shared" si="50"/>
        <v>1</v>
      </c>
      <c r="R53" s="180">
        <f t="shared" si="50"/>
        <v>1</v>
      </c>
      <c r="S53" s="180">
        <f t="shared" si="50"/>
        <v>1</v>
      </c>
      <c r="T53" s="180">
        <f t="shared" si="50"/>
        <v>1</v>
      </c>
      <c r="U53" s="180">
        <f t="shared" si="50"/>
        <v>1</v>
      </c>
      <c r="V53" s="61">
        <f t="shared" si="7"/>
        <v>45524</v>
      </c>
      <c r="W53" s="124">
        <f t="shared" ref="W53" si="61">WEEKDAY(V53)</f>
        <v>3</v>
      </c>
      <c r="AC53" t="s">
        <v>198</v>
      </c>
      <c r="AD53" s="61">
        <f t="shared" si="12"/>
        <v>45524</v>
      </c>
      <c r="AE53">
        <f t="shared" si="1"/>
        <v>188</v>
      </c>
      <c r="AF53">
        <f t="shared" si="2"/>
        <v>188</v>
      </c>
      <c r="AG53">
        <f t="shared" si="3"/>
        <v>180</v>
      </c>
      <c r="AH53">
        <f t="shared" si="4"/>
        <v>180</v>
      </c>
      <c r="AI53">
        <f t="shared" si="5"/>
        <v>180</v>
      </c>
      <c r="AJ53"/>
      <c r="AK53" s="95" t="s">
        <v>320</v>
      </c>
      <c r="AL53" s="95" t="s">
        <v>142</v>
      </c>
      <c r="AM53" s="95" t="s">
        <v>142</v>
      </c>
      <c r="AN53" s="95" t="s">
        <v>140</v>
      </c>
    </row>
    <row r="54" spans="15:40" x14ac:dyDescent="0.25">
      <c r="O54" s="61">
        <f t="shared" si="10"/>
        <v>45525</v>
      </c>
      <c r="P54" s="124">
        <f t="shared" si="6"/>
        <v>4</v>
      </c>
      <c r="Q54" s="180">
        <f t="shared" si="50"/>
        <v>1</v>
      </c>
      <c r="R54" s="180">
        <f t="shared" si="50"/>
        <v>1</v>
      </c>
      <c r="S54" s="180">
        <f t="shared" si="50"/>
        <v>1</v>
      </c>
      <c r="T54" s="180">
        <f t="shared" si="50"/>
        <v>1</v>
      </c>
      <c r="U54" s="180">
        <f t="shared" si="50"/>
        <v>1</v>
      </c>
      <c r="V54" s="61">
        <f t="shared" si="7"/>
        <v>45525</v>
      </c>
      <c r="W54" s="124">
        <f t="shared" ref="W54" si="62">WEEKDAY(V54)</f>
        <v>4</v>
      </c>
      <c r="AC54" t="s">
        <v>199</v>
      </c>
      <c r="AD54" s="61">
        <f t="shared" si="12"/>
        <v>45525</v>
      </c>
      <c r="AE54">
        <f t="shared" si="1"/>
        <v>187</v>
      </c>
      <c r="AF54">
        <f t="shared" si="2"/>
        <v>187</v>
      </c>
      <c r="AG54">
        <f t="shared" si="3"/>
        <v>179</v>
      </c>
      <c r="AH54">
        <f t="shared" si="4"/>
        <v>179</v>
      </c>
      <c r="AI54">
        <f t="shared" si="5"/>
        <v>179</v>
      </c>
      <c r="AJ54"/>
      <c r="AK54" s="95" t="s">
        <v>321</v>
      </c>
      <c r="AL54" s="95" t="s">
        <v>322</v>
      </c>
      <c r="AM54" s="95" t="s">
        <v>191</v>
      </c>
      <c r="AN54" s="95" t="s">
        <v>129</v>
      </c>
    </row>
    <row r="55" spans="15:40" x14ac:dyDescent="0.25">
      <c r="O55" s="61">
        <f t="shared" si="10"/>
        <v>45526</v>
      </c>
      <c r="P55" s="124">
        <f t="shared" si="6"/>
        <v>5</v>
      </c>
      <c r="Q55" s="180">
        <f t="shared" si="50"/>
        <v>1</v>
      </c>
      <c r="R55" s="180">
        <f t="shared" si="50"/>
        <v>1</v>
      </c>
      <c r="S55" s="180">
        <f t="shared" si="50"/>
        <v>1</v>
      </c>
      <c r="T55" s="180">
        <f t="shared" si="50"/>
        <v>1</v>
      </c>
      <c r="U55" s="180">
        <f t="shared" si="50"/>
        <v>1</v>
      </c>
      <c r="V55" s="61">
        <f t="shared" si="7"/>
        <v>45526</v>
      </c>
      <c r="W55" s="124">
        <f t="shared" ref="W55" si="63">WEEKDAY(V55)</f>
        <v>5</v>
      </c>
      <c r="AC55" t="s">
        <v>198</v>
      </c>
      <c r="AD55" s="61">
        <f t="shared" si="12"/>
        <v>45526</v>
      </c>
      <c r="AE55">
        <f t="shared" si="1"/>
        <v>186</v>
      </c>
      <c r="AF55">
        <f t="shared" si="2"/>
        <v>186</v>
      </c>
      <c r="AG55">
        <f t="shared" si="3"/>
        <v>178</v>
      </c>
      <c r="AH55">
        <f t="shared" si="4"/>
        <v>178</v>
      </c>
      <c r="AI55">
        <f t="shared" si="5"/>
        <v>178</v>
      </c>
      <c r="AJ55"/>
      <c r="AK55" s="95" t="s">
        <v>323</v>
      </c>
      <c r="AL55" s="95" t="s">
        <v>216</v>
      </c>
      <c r="AM55" s="95" t="s">
        <v>216</v>
      </c>
      <c r="AN55" s="95" t="s">
        <v>84</v>
      </c>
    </row>
    <row r="56" spans="15:40" x14ac:dyDescent="0.25">
      <c r="O56" s="61">
        <f t="shared" si="10"/>
        <v>45527</v>
      </c>
      <c r="P56" s="124">
        <f t="shared" si="6"/>
        <v>6</v>
      </c>
      <c r="Q56" s="180">
        <f t="shared" si="50"/>
        <v>1</v>
      </c>
      <c r="R56" s="180">
        <f t="shared" si="50"/>
        <v>1</v>
      </c>
      <c r="S56" s="180">
        <f t="shared" si="50"/>
        <v>1</v>
      </c>
      <c r="T56" s="180">
        <f t="shared" si="50"/>
        <v>1</v>
      </c>
      <c r="U56" s="180">
        <f t="shared" si="50"/>
        <v>1</v>
      </c>
      <c r="V56" s="61">
        <f t="shared" si="7"/>
        <v>45527</v>
      </c>
      <c r="W56" s="124">
        <f t="shared" ref="W56" si="64">WEEKDAY(V56)</f>
        <v>6</v>
      </c>
      <c r="AC56" t="s">
        <v>199</v>
      </c>
      <c r="AD56" s="61">
        <f t="shared" si="12"/>
        <v>45527</v>
      </c>
      <c r="AE56">
        <f t="shared" si="1"/>
        <v>185</v>
      </c>
      <c r="AF56">
        <f t="shared" si="2"/>
        <v>185</v>
      </c>
      <c r="AG56">
        <f t="shared" si="3"/>
        <v>177</v>
      </c>
      <c r="AH56">
        <f t="shared" si="4"/>
        <v>177</v>
      </c>
      <c r="AI56">
        <f t="shared" si="5"/>
        <v>177</v>
      </c>
      <c r="AJ56"/>
      <c r="AK56" s="95" t="s">
        <v>324</v>
      </c>
      <c r="AL56" s="95" t="s">
        <v>325</v>
      </c>
      <c r="AM56" s="95" t="s">
        <v>217</v>
      </c>
      <c r="AN56" s="95" t="s">
        <v>84</v>
      </c>
    </row>
    <row r="57" spans="15:40" x14ac:dyDescent="0.25">
      <c r="O57" s="61">
        <f t="shared" si="10"/>
        <v>45528</v>
      </c>
      <c r="P57" s="124">
        <f t="shared" si="6"/>
        <v>7</v>
      </c>
      <c r="Q57" s="180" t="str">
        <f t="shared" si="50"/>
        <v/>
      </c>
      <c r="R57" s="180" t="str">
        <f t="shared" si="50"/>
        <v/>
      </c>
      <c r="S57" s="180" t="str">
        <f t="shared" si="50"/>
        <v/>
      </c>
      <c r="T57" s="180" t="str">
        <f t="shared" si="50"/>
        <v/>
      </c>
      <c r="U57" s="180" t="str">
        <f t="shared" si="50"/>
        <v/>
      </c>
      <c r="V57" s="61">
        <f t="shared" si="7"/>
        <v>45528</v>
      </c>
      <c r="W57" s="124">
        <f t="shared" ref="W57" si="65">WEEKDAY(V57)</f>
        <v>7</v>
      </c>
      <c r="AD57" s="61">
        <f t="shared" si="12"/>
        <v>45528</v>
      </c>
      <c r="AE57">
        <f t="shared" si="1"/>
        <v>185</v>
      </c>
      <c r="AF57">
        <f t="shared" si="2"/>
        <v>185</v>
      </c>
      <c r="AG57">
        <f t="shared" si="3"/>
        <v>177</v>
      </c>
      <c r="AH57">
        <f t="shared" si="4"/>
        <v>177</v>
      </c>
      <c r="AI57">
        <f t="shared" si="5"/>
        <v>177</v>
      </c>
      <c r="AJ57"/>
      <c r="AK57" s="95" t="s">
        <v>326</v>
      </c>
      <c r="AL57" s="95" t="s">
        <v>327</v>
      </c>
      <c r="AM57" s="95" t="s">
        <v>91</v>
      </c>
      <c r="AN57" s="95" t="s">
        <v>84</v>
      </c>
    </row>
    <row r="58" spans="15:40" x14ac:dyDescent="0.25">
      <c r="O58" s="61">
        <f t="shared" si="10"/>
        <v>45529</v>
      </c>
      <c r="P58" s="124">
        <f t="shared" si="6"/>
        <v>1</v>
      </c>
      <c r="Q58" s="180" t="str">
        <f t="shared" si="50"/>
        <v/>
      </c>
      <c r="R58" s="180" t="str">
        <f t="shared" si="50"/>
        <v/>
      </c>
      <c r="S58" s="180" t="str">
        <f t="shared" si="50"/>
        <v/>
      </c>
      <c r="T58" s="180" t="str">
        <f t="shared" si="50"/>
        <v/>
      </c>
      <c r="U58" s="180" t="str">
        <f t="shared" si="50"/>
        <v/>
      </c>
      <c r="V58" s="61">
        <f t="shared" si="7"/>
        <v>45529</v>
      </c>
      <c r="W58" s="124">
        <f t="shared" ref="W58" si="66">WEEKDAY(V58)</f>
        <v>1</v>
      </c>
      <c r="AD58" s="61">
        <f t="shared" si="12"/>
        <v>45529</v>
      </c>
      <c r="AE58">
        <f t="shared" si="1"/>
        <v>185</v>
      </c>
      <c r="AF58">
        <f t="shared" si="2"/>
        <v>185</v>
      </c>
      <c r="AG58">
        <f t="shared" si="3"/>
        <v>177</v>
      </c>
      <c r="AH58">
        <f t="shared" si="4"/>
        <v>177</v>
      </c>
      <c r="AI58">
        <f t="shared" si="5"/>
        <v>177</v>
      </c>
      <c r="AJ58"/>
      <c r="AK58" s="95" t="s">
        <v>328</v>
      </c>
      <c r="AL58" s="95" t="s">
        <v>329</v>
      </c>
      <c r="AM58" s="95" t="s">
        <v>218</v>
      </c>
      <c r="AN58" s="95" t="s">
        <v>84</v>
      </c>
    </row>
    <row r="59" spans="15:40" x14ac:dyDescent="0.25">
      <c r="O59" s="61">
        <f t="shared" si="10"/>
        <v>45530</v>
      </c>
      <c r="P59" s="124">
        <f t="shared" si="6"/>
        <v>2</v>
      </c>
      <c r="Q59" s="180">
        <f t="shared" si="50"/>
        <v>1</v>
      </c>
      <c r="R59" s="180">
        <f t="shared" si="50"/>
        <v>1</v>
      </c>
      <c r="S59" s="180">
        <f t="shared" si="50"/>
        <v>1</v>
      </c>
      <c r="T59" s="180">
        <f t="shared" si="50"/>
        <v>1</v>
      </c>
      <c r="U59" s="180">
        <f t="shared" si="50"/>
        <v>1</v>
      </c>
      <c r="V59" s="61">
        <f t="shared" si="7"/>
        <v>45530</v>
      </c>
      <c r="W59" s="124">
        <f t="shared" ref="W59" si="67">WEEKDAY(V59)</f>
        <v>2</v>
      </c>
      <c r="AD59" s="61">
        <f t="shared" si="12"/>
        <v>45530</v>
      </c>
      <c r="AE59">
        <f t="shared" si="1"/>
        <v>184</v>
      </c>
      <c r="AF59">
        <f t="shared" si="2"/>
        <v>184</v>
      </c>
      <c r="AG59">
        <f t="shared" si="3"/>
        <v>176</v>
      </c>
      <c r="AH59">
        <f t="shared" si="4"/>
        <v>176</v>
      </c>
      <c r="AI59">
        <f t="shared" si="5"/>
        <v>176</v>
      </c>
      <c r="AJ59"/>
      <c r="AK59" s="95" t="s">
        <v>330</v>
      </c>
      <c r="AL59" s="95" t="s">
        <v>147</v>
      </c>
      <c r="AM59" s="95" t="s">
        <v>147</v>
      </c>
      <c r="AN59" s="95" t="s">
        <v>227</v>
      </c>
    </row>
    <row r="60" spans="15:40" x14ac:dyDescent="0.25">
      <c r="O60" s="61">
        <f t="shared" si="10"/>
        <v>45531</v>
      </c>
      <c r="P60" s="124">
        <f t="shared" si="6"/>
        <v>3</v>
      </c>
      <c r="Q60" s="180">
        <f t="shared" si="50"/>
        <v>1</v>
      </c>
      <c r="R60" s="180">
        <f t="shared" si="50"/>
        <v>1</v>
      </c>
      <c r="S60" s="180">
        <f t="shared" si="50"/>
        <v>1</v>
      </c>
      <c r="T60" s="180">
        <f t="shared" si="50"/>
        <v>1</v>
      </c>
      <c r="U60" s="180">
        <f t="shared" si="50"/>
        <v>1</v>
      </c>
      <c r="V60" s="61">
        <f t="shared" si="7"/>
        <v>45531</v>
      </c>
      <c r="W60" s="124">
        <f t="shared" ref="W60" si="68">WEEKDAY(V60)</f>
        <v>3</v>
      </c>
      <c r="AC60" t="s">
        <v>198</v>
      </c>
      <c r="AD60" s="61">
        <f t="shared" si="12"/>
        <v>45531</v>
      </c>
      <c r="AE60">
        <f t="shared" si="1"/>
        <v>183</v>
      </c>
      <c r="AF60">
        <f t="shared" si="2"/>
        <v>183</v>
      </c>
      <c r="AG60">
        <f t="shared" si="3"/>
        <v>175</v>
      </c>
      <c r="AH60">
        <f t="shared" si="4"/>
        <v>175</v>
      </c>
      <c r="AI60">
        <f t="shared" si="5"/>
        <v>175</v>
      </c>
      <c r="AJ60"/>
      <c r="AK60" s="95" t="s">
        <v>331</v>
      </c>
      <c r="AL60" s="95" t="s">
        <v>148</v>
      </c>
      <c r="AM60" s="95" t="s">
        <v>148</v>
      </c>
      <c r="AN60" s="95" t="s">
        <v>227</v>
      </c>
    </row>
    <row r="61" spans="15:40" x14ac:dyDescent="0.25">
      <c r="O61" s="61">
        <f t="shared" si="10"/>
        <v>45532</v>
      </c>
      <c r="P61" s="124">
        <f t="shared" si="6"/>
        <v>4</v>
      </c>
      <c r="Q61" s="180">
        <f t="shared" si="50"/>
        <v>1</v>
      </c>
      <c r="R61" s="180">
        <f t="shared" si="50"/>
        <v>1</v>
      </c>
      <c r="S61" s="180">
        <f t="shared" si="50"/>
        <v>1</v>
      </c>
      <c r="T61" s="180">
        <f t="shared" si="50"/>
        <v>1</v>
      </c>
      <c r="U61" s="180">
        <f t="shared" si="50"/>
        <v>1</v>
      </c>
      <c r="V61" s="61">
        <f t="shared" si="7"/>
        <v>45532</v>
      </c>
      <c r="W61" s="124">
        <f t="shared" ref="W61" si="69">WEEKDAY(V61)</f>
        <v>4</v>
      </c>
      <c r="AC61" t="s">
        <v>199</v>
      </c>
      <c r="AD61" s="61">
        <f t="shared" si="12"/>
        <v>45532</v>
      </c>
      <c r="AE61">
        <f t="shared" si="1"/>
        <v>182</v>
      </c>
      <c r="AF61">
        <f t="shared" si="2"/>
        <v>182</v>
      </c>
      <c r="AG61">
        <f t="shared" si="3"/>
        <v>174</v>
      </c>
      <c r="AH61">
        <f t="shared" si="4"/>
        <v>174</v>
      </c>
      <c r="AI61">
        <f t="shared" si="5"/>
        <v>174</v>
      </c>
      <c r="AJ61"/>
      <c r="AK61" s="95" t="s">
        <v>332</v>
      </c>
      <c r="AL61" s="95" t="s">
        <v>333</v>
      </c>
      <c r="AM61" s="95" t="s">
        <v>128</v>
      </c>
      <c r="AN61" s="95" t="s">
        <v>129</v>
      </c>
    </row>
    <row r="62" spans="15:40" x14ac:dyDescent="0.25">
      <c r="O62" s="61">
        <f t="shared" si="10"/>
        <v>45533</v>
      </c>
      <c r="P62" s="124">
        <f t="shared" si="6"/>
        <v>5</v>
      </c>
      <c r="Q62" s="180">
        <f t="shared" si="50"/>
        <v>1</v>
      </c>
      <c r="R62" s="180">
        <f t="shared" si="50"/>
        <v>1</v>
      </c>
      <c r="S62" s="180">
        <f t="shared" si="50"/>
        <v>1</v>
      </c>
      <c r="T62" s="180">
        <f t="shared" si="50"/>
        <v>1</v>
      </c>
      <c r="U62" s="180">
        <f t="shared" si="50"/>
        <v>1</v>
      </c>
      <c r="V62" s="61">
        <f t="shared" si="7"/>
        <v>45533</v>
      </c>
      <c r="W62" s="124">
        <f t="shared" ref="W62" si="70">WEEKDAY(V62)</f>
        <v>5</v>
      </c>
      <c r="AC62" t="s">
        <v>198</v>
      </c>
      <c r="AD62" s="61">
        <f t="shared" si="12"/>
        <v>45533</v>
      </c>
      <c r="AE62">
        <f t="shared" si="1"/>
        <v>181</v>
      </c>
      <c r="AF62">
        <f t="shared" si="2"/>
        <v>181</v>
      </c>
      <c r="AG62">
        <f t="shared" si="3"/>
        <v>173</v>
      </c>
      <c r="AH62">
        <f t="shared" si="4"/>
        <v>173</v>
      </c>
      <c r="AI62">
        <f t="shared" si="5"/>
        <v>173</v>
      </c>
      <c r="AJ62"/>
      <c r="AK62" s="95" t="s">
        <v>334</v>
      </c>
      <c r="AL62" s="95" t="s">
        <v>335</v>
      </c>
      <c r="AM62" s="95" t="s">
        <v>220</v>
      </c>
      <c r="AN62" s="95" t="s">
        <v>84</v>
      </c>
    </row>
    <row r="63" spans="15:40" x14ac:dyDescent="0.25">
      <c r="O63" s="61">
        <f t="shared" si="10"/>
        <v>45534</v>
      </c>
      <c r="P63" s="124">
        <f t="shared" si="6"/>
        <v>6</v>
      </c>
      <c r="Q63" s="180">
        <f t="shared" si="50"/>
        <v>1</v>
      </c>
      <c r="R63" s="180">
        <f t="shared" si="50"/>
        <v>1</v>
      </c>
      <c r="S63" s="180">
        <f t="shared" si="50"/>
        <v>1</v>
      </c>
      <c r="T63" s="180">
        <f t="shared" si="50"/>
        <v>1</v>
      </c>
      <c r="U63" s="180">
        <f t="shared" si="50"/>
        <v>1</v>
      </c>
      <c r="V63" s="61">
        <f t="shared" si="7"/>
        <v>45534</v>
      </c>
      <c r="W63" s="124">
        <f t="shared" ref="W63" si="71">WEEKDAY(V63)</f>
        <v>6</v>
      </c>
      <c r="AC63" t="s">
        <v>199</v>
      </c>
      <c r="AD63" s="61">
        <f t="shared" si="12"/>
        <v>45534</v>
      </c>
      <c r="AE63">
        <f t="shared" si="1"/>
        <v>180</v>
      </c>
      <c r="AF63">
        <f t="shared" si="2"/>
        <v>180</v>
      </c>
      <c r="AG63">
        <f t="shared" si="3"/>
        <v>172</v>
      </c>
      <c r="AH63">
        <f t="shared" si="4"/>
        <v>172</v>
      </c>
      <c r="AI63">
        <f t="shared" si="5"/>
        <v>172</v>
      </c>
      <c r="AJ63"/>
      <c r="AK63" s="95" t="s">
        <v>336</v>
      </c>
      <c r="AL63" s="95" t="s">
        <v>337</v>
      </c>
      <c r="AM63" s="95" t="s">
        <v>107</v>
      </c>
      <c r="AN63" s="95" t="s">
        <v>93</v>
      </c>
    </row>
    <row r="64" spans="15:40" x14ac:dyDescent="0.25">
      <c r="O64" s="61">
        <f t="shared" si="10"/>
        <v>45535</v>
      </c>
      <c r="P64" s="124">
        <f t="shared" si="6"/>
        <v>7</v>
      </c>
      <c r="Q64" s="180" t="str">
        <f t="shared" si="50"/>
        <v/>
      </c>
      <c r="R64" s="180" t="str">
        <f t="shared" si="50"/>
        <v/>
      </c>
      <c r="S64" s="180" t="str">
        <f t="shared" si="50"/>
        <v/>
      </c>
      <c r="T64" s="180" t="str">
        <f t="shared" si="50"/>
        <v/>
      </c>
      <c r="U64" s="180" t="str">
        <f t="shared" si="50"/>
        <v/>
      </c>
      <c r="V64" s="61">
        <f t="shared" si="7"/>
        <v>45535</v>
      </c>
      <c r="W64" s="124">
        <f t="shared" ref="W64" si="72">WEEKDAY(V64)</f>
        <v>7</v>
      </c>
      <c r="AC64" t="s">
        <v>198</v>
      </c>
      <c r="AD64" s="61">
        <f t="shared" si="12"/>
        <v>45535</v>
      </c>
      <c r="AE64">
        <f t="shared" si="1"/>
        <v>180</v>
      </c>
      <c r="AF64">
        <f t="shared" si="2"/>
        <v>180</v>
      </c>
      <c r="AG64">
        <f t="shared" si="3"/>
        <v>172</v>
      </c>
      <c r="AH64">
        <f t="shared" si="4"/>
        <v>172</v>
      </c>
      <c r="AI64">
        <f t="shared" si="5"/>
        <v>172</v>
      </c>
      <c r="AJ64"/>
      <c r="AK64" s="95" t="s">
        <v>338</v>
      </c>
      <c r="AL64" s="95" t="s">
        <v>339</v>
      </c>
      <c r="AM64" s="95" t="s">
        <v>106</v>
      </c>
      <c r="AN64" s="95" t="s">
        <v>93</v>
      </c>
    </row>
    <row r="65" spans="15:40" x14ac:dyDescent="0.25">
      <c r="O65" s="61">
        <f t="shared" si="10"/>
        <v>45536</v>
      </c>
      <c r="P65" s="124">
        <f t="shared" si="6"/>
        <v>1</v>
      </c>
      <c r="Q65" s="180" t="str">
        <f t="shared" si="50"/>
        <v/>
      </c>
      <c r="R65" s="180" t="str">
        <f t="shared" si="50"/>
        <v/>
      </c>
      <c r="S65" s="180" t="str">
        <f t="shared" si="50"/>
        <v/>
      </c>
      <c r="T65" s="180" t="str">
        <f t="shared" si="50"/>
        <v/>
      </c>
      <c r="U65" s="180" t="str">
        <f t="shared" si="50"/>
        <v/>
      </c>
      <c r="V65" s="61">
        <f t="shared" si="7"/>
        <v>45536</v>
      </c>
      <c r="W65" s="124">
        <f t="shared" ref="W65" si="73">WEEKDAY(V65)</f>
        <v>1</v>
      </c>
      <c r="AD65" s="61">
        <f t="shared" si="12"/>
        <v>45536</v>
      </c>
      <c r="AE65">
        <f t="shared" si="1"/>
        <v>180</v>
      </c>
      <c r="AF65">
        <f t="shared" si="2"/>
        <v>180</v>
      </c>
      <c r="AG65">
        <f t="shared" si="3"/>
        <v>172</v>
      </c>
      <c r="AH65">
        <f t="shared" si="4"/>
        <v>172</v>
      </c>
      <c r="AI65">
        <f t="shared" si="5"/>
        <v>172</v>
      </c>
      <c r="AJ65"/>
      <c r="AK65" s="95" t="s">
        <v>472</v>
      </c>
      <c r="AL65" s="95" t="s">
        <v>473</v>
      </c>
      <c r="AM65" s="95" t="s">
        <v>474</v>
      </c>
      <c r="AN65" s="95" t="s">
        <v>93</v>
      </c>
    </row>
    <row r="66" spans="15:40" x14ac:dyDescent="0.25">
      <c r="O66" s="61">
        <f t="shared" si="10"/>
        <v>45537</v>
      </c>
      <c r="P66" s="124">
        <f t="shared" si="6"/>
        <v>2</v>
      </c>
      <c r="Q66" s="180" t="s">
        <v>177</v>
      </c>
      <c r="R66" s="180" t="s">
        <v>177</v>
      </c>
      <c r="S66" s="180" t="s">
        <v>177</v>
      </c>
      <c r="T66" s="180" t="s">
        <v>177</v>
      </c>
      <c r="U66" s="180" t="s">
        <v>177</v>
      </c>
      <c r="V66" s="61">
        <f t="shared" si="7"/>
        <v>45537</v>
      </c>
      <c r="W66" s="124">
        <f t="shared" ref="W66" si="74">WEEKDAY(V66)</f>
        <v>2</v>
      </c>
      <c r="AD66" s="61">
        <f t="shared" si="12"/>
        <v>45537</v>
      </c>
      <c r="AE66">
        <f t="shared" si="1"/>
        <v>180</v>
      </c>
      <c r="AF66">
        <f t="shared" si="2"/>
        <v>180</v>
      </c>
      <c r="AG66">
        <f t="shared" si="3"/>
        <v>172</v>
      </c>
      <c r="AH66">
        <f t="shared" si="4"/>
        <v>172</v>
      </c>
      <c r="AI66">
        <f t="shared" si="5"/>
        <v>172</v>
      </c>
      <c r="AJ66"/>
      <c r="AK66" s="95" t="s">
        <v>340</v>
      </c>
      <c r="AL66" s="95" t="s">
        <v>341</v>
      </c>
      <c r="AM66" s="95" t="s">
        <v>152</v>
      </c>
      <c r="AN66" s="95" t="s">
        <v>228</v>
      </c>
    </row>
    <row r="67" spans="15:40" x14ac:dyDescent="0.25">
      <c r="O67" s="61">
        <f t="shared" si="10"/>
        <v>45538</v>
      </c>
      <c r="P67" s="124">
        <f t="shared" si="6"/>
        <v>3</v>
      </c>
      <c r="Q67" s="180">
        <f t="shared" si="50"/>
        <v>1</v>
      </c>
      <c r="R67" s="180">
        <f t="shared" si="50"/>
        <v>1</v>
      </c>
      <c r="S67" s="180">
        <f t="shared" si="50"/>
        <v>1</v>
      </c>
      <c r="T67" s="180">
        <f t="shared" si="50"/>
        <v>1</v>
      </c>
      <c r="U67" s="180">
        <f t="shared" si="50"/>
        <v>1</v>
      </c>
      <c r="V67" s="61">
        <f t="shared" si="7"/>
        <v>45538</v>
      </c>
      <c r="W67" s="124">
        <f t="shared" ref="W67" si="75">WEEKDAY(V67)</f>
        <v>3</v>
      </c>
      <c r="AC67" t="s">
        <v>199</v>
      </c>
      <c r="AD67" s="61">
        <f t="shared" si="12"/>
        <v>45538</v>
      </c>
      <c r="AE67">
        <f t="shared" ref="AE67:AE130" si="76">AE66-(IF(Q67=1,1,0))</f>
        <v>179</v>
      </c>
      <c r="AF67">
        <f t="shared" ref="AF67:AF130" si="77">AF66-(IF(R67=1,1,0))</f>
        <v>179</v>
      </c>
      <c r="AG67">
        <f t="shared" ref="AG67:AG130" si="78">AG66-(IF(S67=1,1,0))</f>
        <v>171</v>
      </c>
      <c r="AH67">
        <f t="shared" ref="AH67:AH130" si="79">AH66-(IF(T67=1,1,0))</f>
        <v>171</v>
      </c>
      <c r="AI67">
        <f t="shared" ref="AI67:AI130" si="80">AI66-(IF(U67=1,1,0))</f>
        <v>171</v>
      </c>
      <c r="AJ67"/>
      <c r="AK67" s="95" t="s">
        <v>454</v>
      </c>
      <c r="AL67" s="95" t="s">
        <v>455</v>
      </c>
      <c r="AM67" s="95" t="s">
        <v>456</v>
      </c>
      <c r="AN67" s="95" t="s">
        <v>129</v>
      </c>
    </row>
    <row r="68" spans="15:40" x14ac:dyDescent="0.25">
      <c r="O68" s="61">
        <f t="shared" si="10"/>
        <v>45539</v>
      </c>
      <c r="P68" s="124">
        <f t="shared" ref="P68:P131" si="81">WEEKDAY(O68)</f>
        <v>4</v>
      </c>
      <c r="Q68" s="180">
        <f t="shared" si="50"/>
        <v>1</v>
      </c>
      <c r="R68" s="180">
        <f t="shared" si="50"/>
        <v>1</v>
      </c>
      <c r="S68" s="180">
        <f t="shared" si="50"/>
        <v>1</v>
      </c>
      <c r="T68" s="180">
        <f t="shared" si="50"/>
        <v>1</v>
      </c>
      <c r="U68" s="180">
        <f t="shared" si="50"/>
        <v>1</v>
      </c>
      <c r="V68" s="61">
        <f t="shared" ref="V68:V131" si="82">V67+1</f>
        <v>45539</v>
      </c>
      <c r="W68" s="124">
        <f t="shared" ref="W68" si="83">WEEKDAY(V68)</f>
        <v>4</v>
      </c>
      <c r="AC68" t="s">
        <v>198</v>
      </c>
      <c r="AD68" s="61">
        <f t="shared" si="12"/>
        <v>45539</v>
      </c>
      <c r="AE68">
        <f t="shared" si="76"/>
        <v>178</v>
      </c>
      <c r="AF68">
        <f t="shared" si="77"/>
        <v>178</v>
      </c>
      <c r="AG68">
        <f t="shared" si="78"/>
        <v>170</v>
      </c>
      <c r="AH68">
        <f t="shared" si="79"/>
        <v>170</v>
      </c>
      <c r="AI68">
        <f t="shared" si="80"/>
        <v>170</v>
      </c>
      <c r="AJ68"/>
      <c r="AK68" s="95" t="s">
        <v>457</v>
      </c>
      <c r="AL68" s="95" t="s">
        <v>458</v>
      </c>
      <c r="AM68" s="95" t="s">
        <v>458</v>
      </c>
      <c r="AN68" s="95" t="s">
        <v>140</v>
      </c>
    </row>
    <row r="69" spans="15:40" x14ac:dyDescent="0.25">
      <c r="O69" s="61">
        <f t="shared" si="10"/>
        <v>45540</v>
      </c>
      <c r="P69" s="124">
        <f t="shared" si="81"/>
        <v>5</v>
      </c>
      <c r="Q69" s="180">
        <f t="shared" si="50"/>
        <v>1</v>
      </c>
      <c r="R69" s="180">
        <f t="shared" si="50"/>
        <v>1</v>
      </c>
      <c r="S69" s="180">
        <f t="shared" si="50"/>
        <v>1</v>
      </c>
      <c r="T69" s="180">
        <f t="shared" si="50"/>
        <v>1</v>
      </c>
      <c r="U69" s="180">
        <f t="shared" si="50"/>
        <v>1</v>
      </c>
      <c r="V69" s="61">
        <f t="shared" si="82"/>
        <v>45540</v>
      </c>
      <c r="W69" s="124">
        <f t="shared" ref="W69" si="84">WEEKDAY(V69)</f>
        <v>5</v>
      </c>
      <c r="AC69" t="s">
        <v>199</v>
      </c>
      <c r="AD69" s="61">
        <f t="shared" si="12"/>
        <v>45540</v>
      </c>
      <c r="AE69">
        <f t="shared" si="76"/>
        <v>177</v>
      </c>
      <c r="AF69">
        <f t="shared" si="77"/>
        <v>177</v>
      </c>
      <c r="AG69">
        <f t="shared" si="78"/>
        <v>169</v>
      </c>
      <c r="AH69">
        <f t="shared" si="79"/>
        <v>169</v>
      </c>
      <c r="AI69">
        <f t="shared" si="80"/>
        <v>169</v>
      </c>
      <c r="AJ69"/>
      <c r="AK69" s="212" t="s">
        <v>292</v>
      </c>
      <c r="AL69" s="95" t="s">
        <v>475</v>
      </c>
      <c r="AM69" s="95" t="s">
        <v>476</v>
      </c>
      <c r="AN69" s="95" t="s">
        <v>84</v>
      </c>
    </row>
    <row r="70" spans="15:40" x14ac:dyDescent="0.25">
      <c r="O70" s="61">
        <f t="shared" ref="O70:O133" si="85">O69+1</f>
        <v>45541</v>
      </c>
      <c r="P70" s="124">
        <f t="shared" si="81"/>
        <v>6</v>
      </c>
      <c r="Q70" s="180">
        <f t="shared" si="50"/>
        <v>1</v>
      </c>
      <c r="R70" s="180">
        <f t="shared" si="50"/>
        <v>1</v>
      </c>
      <c r="S70" s="180">
        <f t="shared" si="50"/>
        <v>1</v>
      </c>
      <c r="T70" s="180">
        <f t="shared" si="50"/>
        <v>1</v>
      </c>
      <c r="U70" s="180">
        <f t="shared" si="50"/>
        <v>1</v>
      </c>
      <c r="V70" s="61">
        <f t="shared" si="82"/>
        <v>45541</v>
      </c>
      <c r="W70" s="124">
        <f t="shared" ref="W70" si="86">WEEKDAY(V70)</f>
        <v>6</v>
      </c>
      <c r="AC70" t="s">
        <v>198</v>
      </c>
      <c r="AD70" s="61">
        <f t="shared" ref="AD70:AD133" si="87">AD69+1</f>
        <v>45541</v>
      </c>
      <c r="AE70">
        <f t="shared" si="76"/>
        <v>176</v>
      </c>
      <c r="AF70">
        <f t="shared" si="77"/>
        <v>176</v>
      </c>
      <c r="AG70">
        <f t="shared" si="78"/>
        <v>168</v>
      </c>
      <c r="AH70">
        <f t="shared" si="79"/>
        <v>168</v>
      </c>
      <c r="AI70">
        <f t="shared" si="80"/>
        <v>168</v>
      </c>
      <c r="AJ70"/>
      <c r="AK70" s="95" t="s">
        <v>342</v>
      </c>
      <c r="AL70" s="95" t="s">
        <v>343</v>
      </c>
      <c r="AM70" s="95" t="s">
        <v>109</v>
      </c>
      <c r="AN70" s="95" t="s">
        <v>93</v>
      </c>
    </row>
    <row r="71" spans="15:40" x14ac:dyDescent="0.25">
      <c r="O71" s="61">
        <f t="shared" si="85"/>
        <v>45542</v>
      </c>
      <c r="P71" s="124">
        <f t="shared" si="81"/>
        <v>7</v>
      </c>
      <c r="Q71" s="180" t="str">
        <f t="shared" si="50"/>
        <v/>
      </c>
      <c r="R71" s="180" t="str">
        <f t="shared" si="50"/>
        <v/>
      </c>
      <c r="S71" s="180" t="str">
        <f t="shared" si="50"/>
        <v/>
      </c>
      <c r="T71" s="180" t="str">
        <f t="shared" si="50"/>
        <v/>
      </c>
      <c r="U71" s="180" t="str">
        <f t="shared" si="50"/>
        <v/>
      </c>
      <c r="V71" s="61">
        <f t="shared" si="82"/>
        <v>45542</v>
      </c>
      <c r="W71" s="124">
        <f t="shared" ref="W71" si="88">WEEKDAY(V71)</f>
        <v>7</v>
      </c>
      <c r="AD71" s="61">
        <f t="shared" si="87"/>
        <v>45542</v>
      </c>
      <c r="AE71">
        <f t="shared" si="76"/>
        <v>176</v>
      </c>
      <c r="AF71">
        <f t="shared" si="77"/>
        <v>176</v>
      </c>
      <c r="AG71">
        <f t="shared" si="78"/>
        <v>168</v>
      </c>
      <c r="AH71">
        <f t="shared" si="79"/>
        <v>168</v>
      </c>
      <c r="AI71">
        <f t="shared" si="80"/>
        <v>168</v>
      </c>
      <c r="AJ71"/>
      <c r="AK71" s="95" t="s">
        <v>344</v>
      </c>
      <c r="AL71" s="95" t="s">
        <v>345</v>
      </c>
      <c r="AM71" s="95" t="s">
        <v>99</v>
      </c>
      <c r="AN71" s="95" t="s">
        <v>93</v>
      </c>
    </row>
    <row r="72" spans="15:40" x14ac:dyDescent="0.25">
      <c r="O72" s="61">
        <f t="shared" si="85"/>
        <v>45543</v>
      </c>
      <c r="P72" s="124">
        <f t="shared" si="81"/>
        <v>1</v>
      </c>
      <c r="Q72" s="180" t="str">
        <f t="shared" si="50"/>
        <v/>
      </c>
      <c r="R72" s="180" t="str">
        <f t="shared" si="50"/>
        <v/>
      </c>
      <c r="S72" s="180" t="str">
        <f t="shared" si="50"/>
        <v/>
      </c>
      <c r="T72" s="180" t="str">
        <f t="shared" si="50"/>
        <v/>
      </c>
      <c r="U72" s="180" t="str">
        <f t="shared" si="50"/>
        <v/>
      </c>
      <c r="V72" s="61">
        <f t="shared" si="82"/>
        <v>45543</v>
      </c>
      <c r="W72" s="124">
        <f t="shared" ref="W72" si="89">WEEKDAY(V72)</f>
        <v>1</v>
      </c>
      <c r="AD72" s="61">
        <f t="shared" si="87"/>
        <v>45543</v>
      </c>
      <c r="AE72">
        <f t="shared" si="76"/>
        <v>176</v>
      </c>
      <c r="AF72">
        <f t="shared" si="77"/>
        <v>176</v>
      </c>
      <c r="AG72">
        <f t="shared" si="78"/>
        <v>168</v>
      </c>
      <c r="AH72">
        <f t="shared" si="79"/>
        <v>168</v>
      </c>
      <c r="AI72">
        <f t="shared" si="80"/>
        <v>168</v>
      </c>
      <c r="AJ72"/>
      <c r="AK72" s="95" t="s">
        <v>346</v>
      </c>
      <c r="AL72" s="95" t="s">
        <v>347</v>
      </c>
      <c r="AM72" s="95" t="s">
        <v>112</v>
      </c>
      <c r="AN72" s="95" t="s">
        <v>93</v>
      </c>
    </row>
    <row r="73" spans="15:40" x14ac:dyDescent="0.25">
      <c r="O73" s="61">
        <f t="shared" si="85"/>
        <v>45544</v>
      </c>
      <c r="P73" s="124">
        <f t="shared" si="81"/>
        <v>2</v>
      </c>
      <c r="Q73" s="180">
        <f t="shared" si="50"/>
        <v>1</v>
      </c>
      <c r="R73" s="180">
        <f t="shared" si="50"/>
        <v>1</v>
      </c>
      <c r="S73" s="180">
        <f t="shared" si="50"/>
        <v>1</v>
      </c>
      <c r="T73" s="180">
        <f t="shared" si="50"/>
        <v>1</v>
      </c>
      <c r="U73" s="180">
        <f t="shared" si="50"/>
        <v>1</v>
      </c>
      <c r="V73" s="61">
        <f t="shared" si="82"/>
        <v>45544</v>
      </c>
      <c r="W73" s="124">
        <f t="shared" ref="W73" si="90">WEEKDAY(V73)</f>
        <v>2</v>
      </c>
      <c r="AC73" t="s">
        <v>199</v>
      </c>
      <c r="AD73" s="61">
        <f t="shared" si="87"/>
        <v>45544</v>
      </c>
      <c r="AE73">
        <f t="shared" si="76"/>
        <v>175</v>
      </c>
      <c r="AF73">
        <f t="shared" si="77"/>
        <v>175</v>
      </c>
      <c r="AG73">
        <f t="shared" si="78"/>
        <v>167</v>
      </c>
      <c r="AH73">
        <f t="shared" si="79"/>
        <v>167</v>
      </c>
      <c r="AI73">
        <f t="shared" si="80"/>
        <v>167</v>
      </c>
      <c r="AJ73"/>
      <c r="AK73" s="95" t="s">
        <v>348</v>
      </c>
      <c r="AL73" s="95" t="s">
        <v>349</v>
      </c>
      <c r="AM73" s="95" t="s">
        <v>192</v>
      </c>
      <c r="AN73" s="95" t="s">
        <v>129</v>
      </c>
    </row>
    <row r="74" spans="15:40" x14ac:dyDescent="0.25">
      <c r="O74" s="61">
        <f t="shared" si="85"/>
        <v>45545</v>
      </c>
      <c r="P74" s="124">
        <f t="shared" si="81"/>
        <v>3</v>
      </c>
      <c r="Q74" s="180">
        <f t="shared" si="50"/>
        <v>1</v>
      </c>
      <c r="R74" s="180">
        <f t="shared" si="50"/>
        <v>1</v>
      </c>
      <c r="S74" s="180">
        <f t="shared" si="50"/>
        <v>1</v>
      </c>
      <c r="T74" s="180">
        <f t="shared" si="50"/>
        <v>1</v>
      </c>
      <c r="U74" s="180">
        <f t="shared" si="50"/>
        <v>1</v>
      </c>
      <c r="V74" s="61">
        <f t="shared" si="82"/>
        <v>45545</v>
      </c>
      <c r="W74" s="124">
        <f t="shared" ref="W74" si="91">WEEKDAY(V74)</f>
        <v>3</v>
      </c>
      <c r="AC74" t="s">
        <v>198</v>
      </c>
      <c r="AD74" s="61">
        <f t="shared" si="87"/>
        <v>45545</v>
      </c>
      <c r="AE74">
        <f t="shared" si="76"/>
        <v>174</v>
      </c>
      <c r="AF74">
        <f t="shared" si="77"/>
        <v>174</v>
      </c>
      <c r="AG74">
        <f t="shared" si="78"/>
        <v>166</v>
      </c>
      <c r="AH74">
        <f t="shared" si="79"/>
        <v>166</v>
      </c>
      <c r="AI74">
        <f t="shared" si="80"/>
        <v>166</v>
      </c>
      <c r="AJ74"/>
      <c r="AK74" s="95" t="s">
        <v>350</v>
      </c>
      <c r="AL74" s="95" t="s">
        <v>351</v>
      </c>
      <c r="AM74" s="95" t="s">
        <v>190</v>
      </c>
      <c r="AN74" s="95" t="s">
        <v>93</v>
      </c>
    </row>
    <row r="75" spans="15:40" x14ac:dyDescent="0.25">
      <c r="O75" s="61">
        <f t="shared" si="85"/>
        <v>45546</v>
      </c>
      <c r="P75" s="124">
        <f t="shared" si="81"/>
        <v>4</v>
      </c>
      <c r="Q75" s="180">
        <f t="shared" si="50"/>
        <v>1</v>
      </c>
      <c r="R75" s="180">
        <f t="shared" si="50"/>
        <v>1</v>
      </c>
      <c r="S75" s="180">
        <f t="shared" si="50"/>
        <v>1</v>
      </c>
      <c r="T75" s="180">
        <f t="shared" si="50"/>
        <v>1</v>
      </c>
      <c r="U75" s="180">
        <f t="shared" si="50"/>
        <v>1</v>
      </c>
      <c r="V75" s="61">
        <f t="shared" si="82"/>
        <v>45546</v>
      </c>
      <c r="W75" s="124">
        <f t="shared" ref="W75" si="92">WEEKDAY(V75)</f>
        <v>4</v>
      </c>
      <c r="AC75" t="s">
        <v>199</v>
      </c>
      <c r="AD75" s="61">
        <f t="shared" si="87"/>
        <v>45546</v>
      </c>
      <c r="AE75">
        <f t="shared" si="76"/>
        <v>173</v>
      </c>
      <c r="AF75">
        <f t="shared" si="77"/>
        <v>173</v>
      </c>
      <c r="AG75">
        <f t="shared" si="78"/>
        <v>165</v>
      </c>
      <c r="AH75">
        <f t="shared" si="79"/>
        <v>165</v>
      </c>
      <c r="AI75">
        <f t="shared" si="80"/>
        <v>165</v>
      </c>
      <c r="AJ75"/>
      <c r="AK75" s="95" t="s">
        <v>352</v>
      </c>
      <c r="AL75" s="95" t="s">
        <v>353</v>
      </c>
      <c r="AM75" s="95" t="s">
        <v>154</v>
      </c>
      <c r="AN75" s="95" t="s">
        <v>140</v>
      </c>
    </row>
    <row r="76" spans="15:40" x14ac:dyDescent="0.25">
      <c r="O76" s="61">
        <f t="shared" si="85"/>
        <v>45547</v>
      </c>
      <c r="P76" s="124">
        <f t="shared" si="81"/>
        <v>5</v>
      </c>
      <c r="Q76" s="180">
        <f t="shared" si="50"/>
        <v>1</v>
      </c>
      <c r="R76" s="180">
        <f t="shared" si="50"/>
        <v>1</v>
      </c>
      <c r="S76" s="180">
        <f t="shared" si="50"/>
        <v>1</v>
      </c>
      <c r="T76" s="180">
        <f t="shared" si="50"/>
        <v>1</v>
      </c>
      <c r="U76" s="180">
        <f t="shared" si="50"/>
        <v>1</v>
      </c>
      <c r="V76" s="61">
        <f t="shared" si="82"/>
        <v>45547</v>
      </c>
      <c r="W76" s="124">
        <f t="shared" ref="W76" si="93">WEEKDAY(V76)</f>
        <v>5</v>
      </c>
      <c r="AC76" t="s">
        <v>198</v>
      </c>
      <c r="AD76" s="61">
        <f t="shared" si="87"/>
        <v>45547</v>
      </c>
      <c r="AE76">
        <f t="shared" si="76"/>
        <v>172</v>
      </c>
      <c r="AF76">
        <f t="shared" si="77"/>
        <v>172</v>
      </c>
      <c r="AG76">
        <f t="shared" si="78"/>
        <v>164</v>
      </c>
      <c r="AH76">
        <f t="shared" si="79"/>
        <v>164</v>
      </c>
      <c r="AI76">
        <f t="shared" si="80"/>
        <v>164</v>
      </c>
      <c r="AJ76"/>
      <c r="AK76" s="95" t="s">
        <v>354</v>
      </c>
      <c r="AL76" s="95" t="s">
        <v>355</v>
      </c>
      <c r="AM76" s="95" t="s">
        <v>111</v>
      </c>
      <c r="AN76" s="95" t="s">
        <v>93</v>
      </c>
    </row>
    <row r="77" spans="15:40" x14ac:dyDescent="0.25">
      <c r="O77" s="61">
        <f t="shared" si="85"/>
        <v>45548</v>
      </c>
      <c r="P77" s="124">
        <f t="shared" si="81"/>
        <v>6</v>
      </c>
      <c r="Q77" s="180">
        <f t="shared" si="50"/>
        <v>1</v>
      </c>
      <c r="R77" s="180">
        <f t="shared" si="50"/>
        <v>1</v>
      </c>
      <c r="S77" s="180">
        <f t="shared" si="50"/>
        <v>1</v>
      </c>
      <c r="T77" s="180">
        <f t="shared" si="50"/>
        <v>1</v>
      </c>
      <c r="U77" s="180">
        <f t="shared" si="50"/>
        <v>1</v>
      </c>
      <c r="V77" s="61">
        <f t="shared" si="82"/>
        <v>45548</v>
      </c>
      <c r="W77" s="124">
        <f t="shared" ref="W77" si="94">WEEKDAY(V77)</f>
        <v>6</v>
      </c>
      <c r="AC77" t="s">
        <v>199</v>
      </c>
      <c r="AD77" s="61">
        <f t="shared" si="87"/>
        <v>45548</v>
      </c>
      <c r="AE77">
        <f t="shared" si="76"/>
        <v>171</v>
      </c>
      <c r="AF77">
        <f t="shared" si="77"/>
        <v>171</v>
      </c>
      <c r="AG77">
        <f t="shared" si="78"/>
        <v>163</v>
      </c>
      <c r="AH77">
        <f t="shared" si="79"/>
        <v>163</v>
      </c>
      <c r="AI77">
        <f t="shared" si="80"/>
        <v>163</v>
      </c>
      <c r="AJ77"/>
      <c r="AK77" s="95" t="s">
        <v>356</v>
      </c>
      <c r="AL77" s="95" t="s">
        <v>357</v>
      </c>
      <c r="AM77" s="95" t="s">
        <v>221</v>
      </c>
      <c r="AN77" s="95" t="s">
        <v>84</v>
      </c>
    </row>
    <row r="78" spans="15:40" x14ac:dyDescent="0.25">
      <c r="O78" s="61">
        <f t="shared" si="85"/>
        <v>45549</v>
      </c>
      <c r="P78" s="124">
        <f t="shared" si="81"/>
        <v>7</v>
      </c>
      <c r="Q78" s="180" t="str">
        <f t="shared" si="50"/>
        <v/>
      </c>
      <c r="R78" s="180" t="str">
        <f t="shared" si="50"/>
        <v/>
      </c>
      <c r="S78" s="180" t="str">
        <f t="shared" si="50"/>
        <v/>
      </c>
      <c r="T78" s="180" t="str">
        <f t="shared" si="50"/>
        <v/>
      </c>
      <c r="U78" s="180" t="str">
        <f t="shared" si="50"/>
        <v/>
      </c>
      <c r="V78" s="61">
        <f t="shared" si="82"/>
        <v>45549</v>
      </c>
      <c r="W78" s="124">
        <f t="shared" ref="W78" si="95">WEEKDAY(V78)</f>
        <v>7</v>
      </c>
      <c r="AD78" s="61">
        <f t="shared" si="87"/>
        <v>45549</v>
      </c>
      <c r="AE78">
        <f t="shared" si="76"/>
        <v>171</v>
      </c>
      <c r="AF78">
        <f t="shared" si="77"/>
        <v>171</v>
      </c>
      <c r="AG78">
        <f t="shared" si="78"/>
        <v>163</v>
      </c>
      <c r="AH78">
        <f t="shared" si="79"/>
        <v>163</v>
      </c>
      <c r="AI78">
        <f t="shared" si="80"/>
        <v>163</v>
      </c>
      <c r="AJ78"/>
      <c r="AK78" s="95" t="s">
        <v>358</v>
      </c>
      <c r="AL78" s="95" t="s">
        <v>359</v>
      </c>
      <c r="AM78" s="95" t="s">
        <v>222</v>
      </c>
      <c r="AN78" s="95" t="s">
        <v>84</v>
      </c>
    </row>
    <row r="79" spans="15:40" x14ac:dyDescent="0.25">
      <c r="O79" s="61">
        <f t="shared" si="85"/>
        <v>45550</v>
      </c>
      <c r="P79" s="124">
        <f t="shared" si="81"/>
        <v>1</v>
      </c>
      <c r="Q79" s="180" t="str">
        <f t="shared" si="50"/>
        <v/>
      </c>
      <c r="R79" s="180" t="str">
        <f t="shared" si="50"/>
        <v/>
      </c>
      <c r="S79" s="180" t="str">
        <f t="shared" si="50"/>
        <v/>
      </c>
      <c r="T79" s="180" t="str">
        <f t="shared" si="50"/>
        <v/>
      </c>
      <c r="U79" s="180" t="str">
        <f t="shared" si="50"/>
        <v/>
      </c>
      <c r="V79" s="61">
        <f t="shared" si="82"/>
        <v>45550</v>
      </c>
      <c r="W79" s="124">
        <f t="shared" ref="W79" si="96">WEEKDAY(V79)</f>
        <v>1</v>
      </c>
      <c r="AD79" s="61">
        <f t="shared" si="87"/>
        <v>45550</v>
      </c>
      <c r="AE79">
        <f t="shared" si="76"/>
        <v>171</v>
      </c>
      <c r="AF79">
        <f t="shared" si="77"/>
        <v>171</v>
      </c>
      <c r="AG79">
        <f t="shared" si="78"/>
        <v>163</v>
      </c>
      <c r="AH79">
        <f t="shared" si="79"/>
        <v>163</v>
      </c>
      <c r="AI79">
        <f t="shared" si="80"/>
        <v>163</v>
      </c>
      <c r="AJ79"/>
      <c r="AK79" s="95" t="s">
        <v>477</v>
      </c>
      <c r="AL79" s="95" t="s">
        <v>422</v>
      </c>
      <c r="AM79" s="95" t="s">
        <v>423</v>
      </c>
      <c r="AN79" s="95" t="s">
        <v>93</v>
      </c>
    </row>
    <row r="80" spans="15:40" x14ac:dyDescent="0.25">
      <c r="O80" s="61">
        <f t="shared" si="85"/>
        <v>45551</v>
      </c>
      <c r="P80" s="124">
        <f t="shared" si="81"/>
        <v>2</v>
      </c>
      <c r="Q80" s="180">
        <f t="shared" si="50"/>
        <v>1</v>
      </c>
      <c r="R80" s="180">
        <f t="shared" si="50"/>
        <v>1</v>
      </c>
      <c r="S80" s="180">
        <f t="shared" si="50"/>
        <v>1</v>
      </c>
      <c r="T80" s="180">
        <f t="shared" si="50"/>
        <v>1</v>
      </c>
      <c r="U80" s="180">
        <f t="shared" si="50"/>
        <v>1</v>
      </c>
      <c r="V80" s="61">
        <f t="shared" si="82"/>
        <v>45551</v>
      </c>
      <c r="W80" s="124">
        <f t="shared" ref="W80" si="97">WEEKDAY(V80)</f>
        <v>2</v>
      </c>
      <c r="AC80" t="s">
        <v>198</v>
      </c>
      <c r="AD80" s="61">
        <f t="shared" si="87"/>
        <v>45551</v>
      </c>
      <c r="AE80">
        <f t="shared" si="76"/>
        <v>170</v>
      </c>
      <c r="AF80">
        <f t="shared" si="77"/>
        <v>170</v>
      </c>
      <c r="AG80">
        <f t="shared" si="78"/>
        <v>162</v>
      </c>
      <c r="AH80">
        <f t="shared" si="79"/>
        <v>162</v>
      </c>
      <c r="AI80">
        <f t="shared" si="80"/>
        <v>162</v>
      </c>
      <c r="AJ80"/>
      <c r="AK80" s="95" t="s">
        <v>360</v>
      </c>
      <c r="AL80" s="95" t="s">
        <v>361</v>
      </c>
      <c r="AM80" s="95" t="s">
        <v>95</v>
      </c>
      <c r="AN80" s="95" t="s">
        <v>93</v>
      </c>
    </row>
    <row r="81" spans="15:40" x14ac:dyDescent="0.25">
      <c r="O81" s="61">
        <f t="shared" si="85"/>
        <v>45552</v>
      </c>
      <c r="P81" s="124">
        <f t="shared" si="81"/>
        <v>3</v>
      </c>
      <c r="Q81" s="180">
        <f t="shared" si="50"/>
        <v>1</v>
      </c>
      <c r="R81" s="180">
        <f t="shared" si="50"/>
        <v>1</v>
      </c>
      <c r="S81" s="180">
        <f t="shared" si="50"/>
        <v>1</v>
      </c>
      <c r="T81" s="180">
        <f t="shared" si="50"/>
        <v>1</v>
      </c>
      <c r="U81" s="180">
        <f t="shared" si="50"/>
        <v>1</v>
      </c>
      <c r="V81" s="61">
        <f t="shared" si="82"/>
        <v>45552</v>
      </c>
      <c r="W81" s="124">
        <f t="shared" ref="W81" si="98">WEEKDAY(V81)</f>
        <v>3</v>
      </c>
      <c r="AC81" t="s">
        <v>199</v>
      </c>
      <c r="AD81" s="61">
        <f t="shared" si="87"/>
        <v>45552</v>
      </c>
      <c r="AE81">
        <f t="shared" si="76"/>
        <v>169</v>
      </c>
      <c r="AF81">
        <f t="shared" si="77"/>
        <v>169</v>
      </c>
      <c r="AG81">
        <f t="shared" si="78"/>
        <v>161</v>
      </c>
      <c r="AH81">
        <f t="shared" si="79"/>
        <v>161</v>
      </c>
      <c r="AI81">
        <f t="shared" si="80"/>
        <v>161</v>
      </c>
      <c r="AJ81"/>
      <c r="AK81" s="95" t="s">
        <v>362</v>
      </c>
      <c r="AL81" s="95" t="s">
        <v>363</v>
      </c>
      <c r="AM81" s="95" t="s">
        <v>113</v>
      </c>
      <c r="AN81" s="95" t="s">
        <v>93</v>
      </c>
    </row>
    <row r="82" spans="15:40" x14ac:dyDescent="0.25">
      <c r="O82" s="61">
        <f t="shared" si="85"/>
        <v>45553</v>
      </c>
      <c r="P82" s="124">
        <f t="shared" si="81"/>
        <v>4</v>
      </c>
      <c r="Q82" s="180">
        <f t="shared" si="50"/>
        <v>1</v>
      </c>
      <c r="R82" s="180">
        <f t="shared" si="50"/>
        <v>1</v>
      </c>
      <c r="S82" s="180">
        <f t="shared" si="50"/>
        <v>1</v>
      </c>
      <c r="T82" s="180">
        <f t="shared" si="50"/>
        <v>1</v>
      </c>
      <c r="U82" s="180">
        <f t="shared" si="50"/>
        <v>1</v>
      </c>
      <c r="V82" s="61">
        <f t="shared" si="82"/>
        <v>45553</v>
      </c>
      <c r="W82" s="124">
        <f t="shared" ref="W82" si="99">WEEKDAY(V82)</f>
        <v>4</v>
      </c>
      <c r="AC82" t="s">
        <v>198</v>
      </c>
      <c r="AD82" s="61">
        <f t="shared" si="87"/>
        <v>45553</v>
      </c>
      <c r="AE82">
        <f t="shared" si="76"/>
        <v>168</v>
      </c>
      <c r="AF82">
        <f t="shared" si="77"/>
        <v>168</v>
      </c>
      <c r="AG82">
        <f t="shared" si="78"/>
        <v>160</v>
      </c>
      <c r="AH82">
        <f t="shared" si="79"/>
        <v>160</v>
      </c>
      <c r="AI82">
        <f t="shared" si="80"/>
        <v>160</v>
      </c>
      <c r="AJ82"/>
      <c r="AK82" s="95" t="s">
        <v>364</v>
      </c>
      <c r="AL82" s="95" t="s">
        <v>365</v>
      </c>
      <c r="AM82" s="95" t="s">
        <v>130</v>
      </c>
      <c r="AN82" s="95" t="s">
        <v>129</v>
      </c>
    </row>
    <row r="83" spans="15:40" x14ac:dyDescent="0.25">
      <c r="O83" s="61">
        <f t="shared" si="85"/>
        <v>45554</v>
      </c>
      <c r="P83" s="124">
        <f t="shared" si="81"/>
        <v>5</v>
      </c>
      <c r="Q83" s="180">
        <f t="shared" si="50"/>
        <v>1</v>
      </c>
      <c r="R83" s="180">
        <f t="shared" si="50"/>
        <v>1</v>
      </c>
      <c r="S83" s="180">
        <f t="shared" si="50"/>
        <v>1</v>
      </c>
      <c r="T83" s="180">
        <f t="shared" si="50"/>
        <v>1</v>
      </c>
      <c r="U83" s="180">
        <f t="shared" si="50"/>
        <v>1</v>
      </c>
      <c r="V83" s="61">
        <f t="shared" si="82"/>
        <v>45554</v>
      </c>
      <c r="W83" s="124">
        <f t="shared" ref="W83" si="100">WEEKDAY(V83)</f>
        <v>5</v>
      </c>
      <c r="AC83" t="s">
        <v>199</v>
      </c>
      <c r="AD83" s="61">
        <f t="shared" si="87"/>
        <v>45554</v>
      </c>
      <c r="AE83">
        <f t="shared" si="76"/>
        <v>167</v>
      </c>
      <c r="AF83">
        <f t="shared" si="77"/>
        <v>167</v>
      </c>
      <c r="AG83">
        <f t="shared" si="78"/>
        <v>159</v>
      </c>
      <c r="AH83">
        <f t="shared" si="79"/>
        <v>159</v>
      </c>
      <c r="AI83">
        <f t="shared" si="80"/>
        <v>159</v>
      </c>
      <c r="AJ83"/>
      <c r="AK83" s="95" t="s">
        <v>366</v>
      </c>
      <c r="AL83" s="95" t="s">
        <v>223</v>
      </c>
      <c r="AM83" s="95" t="s">
        <v>223</v>
      </c>
      <c r="AN83" s="95" t="s">
        <v>84</v>
      </c>
    </row>
    <row r="84" spans="15:40" x14ac:dyDescent="0.25">
      <c r="O84" s="61">
        <f t="shared" si="85"/>
        <v>45555</v>
      </c>
      <c r="P84" s="124">
        <f t="shared" si="81"/>
        <v>6</v>
      </c>
      <c r="Q84" s="180">
        <f t="shared" si="50"/>
        <v>1</v>
      </c>
      <c r="R84" s="180">
        <f t="shared" si="50"/>
        <v>1</v>
      </c>
      <c r="S84" s="180">
        <f t="shared" si="50"/>
        <v>1</v>
      </c>
      <c r="T84" s="180">
        <f t="shared" si="50"/>
        <v>1</v>
      </c>
      <c r="U84" s="180">
        <f t="shared" si="50"/>
        <v>1</v>
      </c>
      <c r="V84" s="61">
        <f t="shared" si="82"/>
        <v>45555</v>
      </c>
      <c r="W84" s="124">
        <f t="shared" ref="W84" si="101">WEEKDAY(V84)</f>
        <v>6</v>
      </c>
      <c r="AC84" t="s">
        <v>198</v>
      </c>
      <c r="AD84" s="61">
        <f t="shared" si="87"/>
        <v>45555</v>
      </c>
      <c r="AE84">
        <f t="shared" si="76"/>
        <v>166</v>
      </c>
      <c r="AF84">
        <f t="shared" si="77"/>
        <v>166</v>
      </c>
      <c r="AG84">
        <f t="shared" si="78"/>
        <v>158</v>
      </c>
      <c r="AH84">
        <f t="shared" si="79"/>
        <v>158</v>
      </c>
      <c r="AI84">
        <f t="shared" si="80"/>
        <v>158</v>
      </c>
      <c r="AJ84"/>
      <c r="AK84" s="95" t="s">
        <v>367</v>
      </c>
      <c r="AL84" s="95" t="s">
        <v>368</v>
      </c>
      <c r="AM84" s="95" t="s">
        <v>88</v>
      </c>
      <c r="AN84" s="95" t="s">
        <v>84</v>
      </c>
    </row>
    <row r="85" spans="15:40" x14ac:dyDescent="0.25">
      <c r="O85" s="61">
        <f t="shared" si="85"/>
        <v>45556</v>
      </c>
      <c r="P85" s="124">
        <f t="shared" si="81"/>
        <v>7</v>
      </c>
      <c r="Q85" s="180" t="str">
        <f t="shared" si="50"/>
        <v/>
      </c>
      <c r="R85" s="180" t="str">
        <f t="shared" si="50"/>
        <v/>
      </c>
      <c r="S85" s="180" t="str">
        <f t="shared" si="50"/>
        <v/>
      </c>
      <c r="T85" s="180" t="str">
        <f t="shared" si="50"/>
        <v/>
      </c>
      <c r="U85" s="180" t="str">
        <f t="shared" si="50"/>
        <v/>
      </c>
      <c r="V85" s="61">
        <f t="shared" si="82"/>
        <v>45556</v>
      </c>
      <c r="W85" s="124">
        <f t="shared" ref="W85" si="102">WEEKDAY(V85)</f>
        <v>7</v>
      </c>
      <c r="AD85" s="61">
        <f t="shared" si="87"/>
        <v>45556</v>
      </c>
      <c r="AE85">
        <f t="shared" si="76"/>
        <v>166</v>
      </c>
      <c r="AF85">
        <f t="shared" si="77"/>
        <v>166</v>
      </c>
      <c r="AG85">
        <f t="shared" si="78"/>
        <v>158</v>
      </c>
      <c r="AH85">
        <f t="shared" si="79"/>
        <v>158</v>
      </c>
      <c r="AI85">
        <f t="shared" si="80"/>
        <v>158</v>
      </c>
      <c r="AJ85"/>
      <c r="AK85" s="95" t="s">
        <v>369</v>
      </c>
      <c r="AL85" s="95" t="s">
        <v>370</v>
      </c>
      <c r="AM85" s="95" t="s">
        <v>149</v>
      </c>
      <c r="AN85" s="95" t="s">
        <v>228</v>
      </c>
    </row>
    <row r="86" spans="15:40" x14ac:dyDescent="0.25">
      <c r="O86" s="61">
        <f t="shared" si="85"/>
        <v>45557</v>
      </c>
      <c r="P86" s="124">
        <f t="shared" si="81"/>
        <v>1</v>
      </c>
      <c r="Q86" s="180" t="str">
        <f t="shared" si="50"/>
        <v/>
      </c>
      <c r="R86" s="180" t="str">
        <f t="shared" si="50"/>
        <v/>
      </c>
      <c r="S86" s="180" t="str">
        <f t="shared" si="50"/>
        <v/>
      </c>
      <c r="T86" s="180" t="str">
        <f t="shared" si="50"/>
        <v/>
      </c>
      <c r="U86" s="180" t="str">
        <f t="shared" si="50"/>
        <v/>
      </c>
      <c r="V86" s="61">
        <f t="shared" si="82"/>
        <v>45557</v>
      </c>
      <c r="W86" s="124">
        <f t="shared" ref="W86" si="103">WEEKDAY(V86)</f>
        <v>1</v>
      </c>
      <c r="AD86" s="61">
        <f t="shared" si="87"/>
        <v>45557</v>
      </c>
      <c r="AE86">
        <f t="shared" si="76"/>
        <v>166</v>
      </c>
      <c r="AF86">
        <f t="shared" si="77"/>
        <v>166</v>
      </c>
      <c r="AG86">
        <f t="shared" si="78"/>
        <v>158</v>
      </c>
      <c r="AH86">
        <f t="shared" si="79"/>
        <v>158</v>
      </c>
      <c r="AI86">
        <f t="shared" si="80"/>
        <v>158</v>
      </c>
      <c r="AJ86"/>
      <c r="AK86" s="95" t="s">
        <v>371</v>
      </c>
      <c r="AL86" s="95" t="s">
        <v>224</v>
      </c>
      <c r="AM86" s="95" t="s">
        <v>224</v>
      </c>
      <c r="AN86" s="95" t="s">
        <v>84</v>
      </c>
    </row>
    <row r="87" spans="15:40" x14ac:dyDescent="0.25">
      <c r="O87" s="61">
        <f t="shared" si="85"/>
        <v>45558</v>
      </c>
      <c r="P87" s="124">
        <f t="shared" si="81"/>
        <v>2</v>
      </c>
      <c r="Q87" s="180">
        <f t="shared" si="50"/>
        <v>1</v>
      </c>
      <c r="R87" s="180">
        <f t="shared" si="50"/>
        <v>1</v>
      </c>
      <c r="S87" s="180">
        <f t="shared" si="50"/>
        <v>1</v>
      </c>
      <c r="T87" s="180">
        <f t="shared" si="50"/>
        <v>1</v>
      </c>
      <c r="U87" s="180">
        <f t="shared" si="50"/>
        <v>1</v>
      </c>
      <c r="V87" s="61">
        <f t="shared" si="82"/>
        <v>45558</v>
      </c>
      <c r="W87" s="124">
        <f t="shared" ref="W87" si="104">WEEKDAY(V87)</f>
        <v>2</v>
      </c>
      <c r="AC87" t="s">
        <v>199</v>
      </c>
      <c r="AD87" s="61">
        <f t="shared" si="87"/>
        <v>45558</v>
      </c>
      <c r="AE87">
        <f t="shared" si="76"/>
        <v>165</v>
      </c>
      <c r="AF87">
        <f t="shared" si="77"/>
        <v>165</v>
      </c>
      <c r="AG87">
        <f t="shared" si="78"/>
        <v>157</v>
      </c>
      <c r="AH87">
        <f t="shared" si="79"/>
        <v>157</v>
      </c>
      <c r="AI87">
        <f t="shared" si="80"/>
        <v>157</v>
      </c>
      <c r="AJ87"/>
      <c r="AK87" s="95" t="s">
        <v>372</v>
      </c>
      <c r="AL87" s="95" t="s">
        <v>373</v>
      </c>
      <c r="AM87" s="95" t="s">
        <v>189</v>
      </c>
      <c r="AN87" s="95" t="s">
        <v>93</v>
      </c>
    </row>
    <row r="88" spans="15:40" x14ac:dyDescent="0.25">
      <c r="O88" s="61">
        <f t="shared" si="85"/>
        <v>45559</v>
      </c>
      <c r="P88" s="124">
        <f t="shared" si="81"/>
        <v>3</v>
      </c>
      <c r="Q88" s="180">
        <f t="shared" si="50"/>
        <v>1</v>
      </c>
      <c r="R88" s="180">
        <f t="shared" si="50"/>
        <v>1</v>
      </c>
      <c r="S88" s="180">
        <f t="shared" si="50"/>
        <v>1</v>
      </c>
      <c r="T88" s="180">
        <f t="shared" si="50"/>
        <v>1</v>
      </c>
      <c r="U88" s="180">
        <f t="shared" si="50"/>
        <v>1</v>
      </c>
      <c r="V88" s="61">
        <f t="shared" si="82"/>
        <v>45559</v>
      </c>
      <c r="W88" s="124">
        <f t="shared" ref="W88" si="105">WEEKDAY(V88)</f>
        <v>3</v>
      </c>
      <c r="AC88" t="s">
        <v>198</v>
      </c>
      <c r="AD88" s="61">
        <f t="shared" si="87"/>
        <v>45559</v>
      </c>
      <c r="AE88">
        <f t="shared" si="76"/>
        <v>164</v>
      </c>
      <c r="AF88">
        <f t="shared" si="77"/>
        <v>164</v>
      </c>
      <c r="AG88">
        <f t="shared" si="78"/>
        <v>156</v>
      </c>
      <c r="AH88">
        <f t="shared" si="79"/>
        <v>156</v>
      </c>
      <c r="AI88">
        <f t="shared" si="80"/>
        <v>156</v>
      </c>
      <c r="AJ88"/>
      <c r="AK88" s="95" t="s">
        <v>374</v>
      </c>
      <c r="AL88" s="95" t="s">
        <v>151</v>
      </c>
      <c r="AM88" s="95" t="s">
        <v>151</v>
      </c>
      <c r="AN88" s="95" t="s">
        <v>228</v>
      </c>
    </row>
    <row r="89" spans="15:40" x14ac:dyDescent="0.25">
      <c r="O89" s="61">
        <f t="shared" si="85"/>
        <v>45560</v>
      </c>
      <c r="P89" s="124">
        <f t="shared" si="81"/>
        <v>4</v>
      </c>
      <c r="Q89" s="180">
        <f t="shared" si="50"/>
        <v>1</v>
      </c>
      <c r="R89" s="180">
        <f t="shared" si="50"/>
        <v>1</v>
      </c>
      <c r="S89" s="180">
        <f t="shared" si="50"/>
        <v>1</v>
      </c>
      <c r="T89" s="180">
        <f t="shared" si="50"/>
        <v>1</v>
      </c>
      <c r="U89" s="180">
        <f t="shared" si="50"/>
        <v>1</v>
      </c>
      <c r="V89" s="61">
        <f t="shared" si="82"/>
        <v>45560</v>
      </c>
      <c r="W89" s="124">
        <f t="shared" ref="W89" si="106">WEEKDAY(V89)</f>
        <v>4</v>
      </c>
      <c r="AA89" t="s">
        <v>178</v>
      </c>
      <c r="AC89" t="s">
        <v>199</v>
      </c>
      <c r="AD89" s="61">
        <f t="shared" si="87"/>
        <v>45560</v>
      </c>
      <c r="AE89">
        <f t="shared" si="76"/>
        <v>163</v>
      </c>
      <c r="AF89">
        <f t="shared" si="77"/>
        <v>163</v>
      </c>
      <c r="AG89">
        <f t="shared" si="78"/>
        <v>155</v>
      </c>
      <c r="AH89">
        <f t="shared" si="79"/>
        <v>155</v>
      </c>
      <c r="AI89">
        <f t="shared" si="80"/>
        <v>155</v>
      </c>
      <c r="AJ89"/>
      <c r="AK89" s="95" t="s">
        <v>375</v>
      </c>
      <c r="AL89" s="95" t="s">
        <v>376</v>
      </c>
      <c r="AM89" s="95" t="s">
        <v>115</v>
      </c>
      <c r="AN89" s="95" t="s">
        <v>93</v>
      </c>
    </row>
    <row r="90" spans="15:40" x14ac:dyDescent="0.25">
      <c r="O90" s="61">
        <f t="shared" si="85"/>
        <v>45561</v>
      </c>
      <c r="P90" s="124">
        <f t="shared" si="81"/>
        <v>5</v>
      </c>
      <c r="Q90" s="180">
        <f t="shared" si="50"/>
        <v>1</v>
      </c>
      <c r="R90" s="180">
        <f t="shared" si="50"/>
        <v>1</v>
      </c>
      <c r="S90" s="180">
        <f t="shared" si="50"/>
        <v>1</v>
      </c>
      <c r="T90" s="180">
        <f t="shared" si="50"/>
        <v>1</v>
      </c>
      <c r="U90" s="180">
        <f t="shared" si="50"/>
        <v>1</v>
      </c>
      <c r="V90" s="61">
        <f t="shared" si="82"/>
        <v>45561</v>
      </c>
      <c r="W90" s="124">
        <f t="shared" ref="W90" si="107">WEEKDAY(V90)</f>
        <v>5</v>
      </c>
      <c r="AA90" t="s">
        <v>178</v>
      </c>
      <c r="AC90" t="s">
        <v>198</v>
      </c>
      <c r="AD90" s="61">
        <f t="shared" si="87"/>
        <v>45561</v>
      </c>
      <c r="AE90">
        <f t="shared" si="76"/>
        <v>162</v>
      </c>
      <c r="AF90">
        <f t="shared" si="77"/>
        <v>162</v>
      </c>
      <c r="AG90">
        <f t="shared" si="78"/>
        <v>154</v>
      </c>
      <c r="AH90">
        <f t="shared" si="79"/>
        <v>154</v>
      </c>
      <c r="AI90">
        <f t="shared" si="80"/>
        <v>154</v>
      </c>
      <c r="AJ90"/>
      <c r="AK90" s="95" t="s">
        <v>377</v>
      </c>
      <c r="AL90" s="95" t="s">
        <v>378</v>
      </c>
      <c r="AM90" s="95" t="s">
        <v>114</v>
      </c>
      <c r="AN90" s="95" t="s">
        <v>93</v>
      </c>
    </row>
    <row r="91" spans="15:40" x14ac:dyDescent="0.25">
      <c r="O91" s="61">
        <f t="shared" si="85"/>
        <v>45562</v>
      </c>
      <c r="P91" s="124">
        <f t="shared" si="81"/>
        <v>6</v>
      </c>
      <c r="Q91" s="180">
        <f t="shared" si="50"/>
        <v>1</v>
      </c>
      <c r="R91" s="180">
        <f t="shared" si="50"/>
        <v>1</v>
      </c>
      <c r="S91" s="180">
        <f t="shared" si="50"/>
        <v>1</v>
      </c>
      <c r="T91" s="180">
        <f t="shared" si="50"/>
        <v>1</v>
      </c>
      <c r="U91" s="180">
        <f t="shared" si="50"/>
        <v>1</v>
      </c>
      <c r="V91" s="61">
        <f t="shared" si="82"/>
        <v>45562</v>
      </c>
      <c r="W91" s="124">
        <f t="shared" ref="W91" si="108">WEEKDAY(V91)</f>
        <v>6</v>
      </c>
      <c r="X91" t="s">
        <v>478</v>
      </c>
      <c r="Y91" t="s">
        <v>478</v>
      </c>
      <c r="AA91" t="s">
        <v>478</v>
      </c>
      <c r="AD91" s="61">
        <f t="shared" si="87"/>
        <v>45562</v>
      </c>
      <c r="AE91">
        <f t="shared" si="76"/>
        <v>161</v>
      </c>
      <c r="AF91">
        <f t="shared" si="77"/>
        <v>161</v>
      </c>
      <c r="AG91">
        <f t="shared" si="78"/>
        <v>153</v>
      </c>
      <c r="AH91">
        <f t="shared" si="79"/>
        <v>153</v>
      </c>
      <c r="AI91">
        <f t="shared" si="80"/>
        <v>153</v>
      </c>
      <c r="AJ91"/>
      <c r="AK91" s="95" t="s">
        <v>379</v>
      </c>
      <c r="AL91" s="95" t="s">
        <v>143</v>
      </c>
      <c r="AM91" s="95" t="s">
        <v>143</v>
      </c>
      <c r="AN91" s="95" t="s">
        <v>140</v>
      </c>
    </row>
    <row r="92" spans="15:40" x14ac:dyDescent="0.25">
      <c r="O92" s="61">
        <f t="shared" si="85"/>
        <v>45563</v>
      </c>
      <c r="P92" s="124">
        <f t="shared" si="81"/>
        <v>7</v>
      </c>
      <c r="Q92" s="180" t="str">
        <f t="shared" si="50"/>
        <v/>
      </c>
      <c r="R92" s="180" t="str">
        <f t="shared" si="50"/>
        <v/>
      </c>
      <c r="S92" s="180" t="str">
        <f t="shared" si="50"/>
        <v/>
      </c>
      <c r="T92" s="180" t="str">
        <f t="shared" si="50"/>
        <v/>
      </c>
      <c r="U92" s="180" t="str">
        <f t="shared" si="50"/>
        <v/>
      </c>
      <c r="V92" s="61">
        <f t="shared" si="82"/>
        <v>45563</v>
      </c>
      <c r="W92" s="124">
        <f t="shared" ref="W92" si="109">WEEKDAY(V92)</f>
        <v>7</v>
      </c>
      <c r="AD92" s="61">
        <f t="shared" si="87"/>
        <v>45563</v>
      </c>
      <c r="AE92">
        <f t="shared" si="76"/>
        <v>161</v>
      </c>
      <c r="AF92">
        <f t="shared" si="77"/>
        <v>161</v>
      </c>
      <c r="AG92">
        <f t="shared" si="78"/>
        <v>153</v>
      </c>
      <c r="AH92">
        <f t="shared" si="79"/>
        <v>153</v>
      </c>
      <c r="AI92">
        <f t="shared" si="80"/>
        <v>153</v>
      </c>
      <c r="AJ92"/>
      <c r="AK92" s="95" t="s">
        <v>459</v>
      </c>
      <c r="AL92" s="95" t="s">
        <v>460</v>
      </c>
      <c r="AM92" s="95" t="s">
        <v>461</v>
      </c>
      <c r="AN92" s="95" t="s">
        <v>93</v>
      </c>
    </row>
    <row r="93" spans="15:40" x14ac:dyDescent="0.25">
      <c r="O93" s="61">
        <f t="shared" si="85"/>
        <v>45564</v>
      </c>
      <c r="P93" s="124">
        <f t="shared" si="81"/>
        <v>1</v>
      </c>
      <c r="Q93" s="180" t="str">
        <f t="shared" si="50"/>
        <v/>
      </c>
      <c r="R93" s="180" t="str">
        <f t="shared" si="50"/>
        <v/>
      </c>
      <c r="S93" s="180" t="str">
        <f t="shared" si="50"/>
        <v/>
      </c>
      <c r="T93" s="180" t="str">
        <f t="shared" si="50"/>
        <v/>
      </c>
      <c r="U93" s="180" t="str">
        <f t="shared" si="50"/>
        <v/>
      </c>
      <c r="V93" s="61">
        <f t="shared" si="82"/>
        <v>45564</v>
      </c>
      <c r="W93" s="124">
        <f t="shared" ref="W93" si="110">WEEKDAY(V93)</f>
        <v>1</v>
      </c>
      <c r="AD93" s="61">
        <f t="shared" si="87"/>
        <v>45564</v>
      </c>
      <c r="AE93">
        <f t="shared" si="76"/>
        <v>161</v>
      </c>
      <c r="AF93">
        <f t="shared" si="77"/>
        <v>161</v>
      </c>
      <c r="AG93">
        <f t="shared" si="78"/>
        <v>153</v>
      </c>
      <c r="AH93">
        <f t="shared" si="79"/>
        <v>153</v>
      </c>
      <c r="AI93">
        <f t="shared" si="80"/>
        <v>153</v>
      </c>
      <c r="AJ93"/>
      <c r="AK93" s="95" t="s">
        <v>380</v>
      </c>
      <c r="AL93" s="95" t="s">
        <v>381</v>
      </c>
      <c r="AM93" s="95" t="s">
        <v>116</v>
      </c>
      <c r="AN93" s="95" t="s">
        <v>93</v>
      </c>
    </row>
    <row r="94" spans="15:40" x14ac:dyDescent="0.25">
      <c r="O94" s="61">
        <f t="shared" si="85"/>
        <v>45565</v>
      </c>
      <c r="P94" s="124">
        <f t="shared" si="81"/>
        <v>2</v>
      </c>
      <c r="Q94" s="180">
        <f t="shared" si="50"/>
        <v>1</v>
      </c>
      <c r="R94" s="180">
        <f t="shared" si="50"/>
        <v>1</v>
      </c>
      <c r="S94" s="180">
        <f t="shared" si="50"/>
        <v>1</v>
      </c>
      <c r="T94" s="180">
        <f t="shared" si="50"/>
        <v>1</v>
      </c>
      <c r="U94" s="180">
        <f t="shared" si="50"/>
        <v>1</v>
      </c>
      <c r="V94" s="61">
        <f t="shared" si="82"/>
        <v>45565</v>
      </c>
      <c r="W94" s="124">
        <f t="shared" ref="W94" si="111">WEEKDAY(V94)</f>
        <v>2</v>
      </c>
      <c r="AC94" t="s">
        <v>199</v>
      </c>
      <c r="AD94" s="61">
        <f t="shared" si="87"/>
        <v>45565</v>
      </c>
      <c r="AE94">
        <f t="shared" si="76"/>
        <v>160</v>
      </c>
      <c r="AF94">
        <f t="shared" si="77"/>
        <v>160</v>
      </c>
      <c r="AG94">
        <f t="shared" si="78"/>
        <v>152</v>
      </c>
      <c r="AH94">
        <f t="shared" si="79"/>
        <v>152</v>
      </c>
      <c r="AI94">
        <f t="shared" si="80"/>
        <v>152</v>
      </c>
      <c r="AJ94"/>
      <c r="AK94" s="95" t="s">
        <v>382</v>
      </c>
      <c r="AL94" s="95" t="s">
        <v>383</v>
      </c>
      <c r="AM94" s="95" t="s">
        <v>120</v>
      </c>
      <c r="AN94" s="95" t="s">
        <v>93</v>
      </c>
    </row>
    <row r="95" spans="15:40" x14ac:dyDescent="0.25">
      <c r="O95" s="61">
        <f t="shared" si="85"/>
        <v>45566</v>
      </c>
      <c r="P95" s="124">
        <f t="shared" si="81"/>
        <v>3</v>
      </c>
      <c r="Q95" s="180">
        <f t="shared" si="50"/>
        <v>1</v>
      </c>
      <c r="R95" s="180">
        <f t="shared" si="50"/>
        <v>1</v>
      </c>
      <c r="S95" s="180">
        <f t="shared" si="50"/>
        <v>1</v>
      </c>
      <c r="T95" s="180">
        <f t="shared" si="50"/>
        <v>1</v>
      </c>
      <c r="U95" s="180">
        <f t="shared" si="50"/>
        <v>1</v>
      </c>
      <c r="V95" s="61">
        <f t="shared" si="82"/>
        <v>45566</v>
      </c>
      <c r="W95" s="124">
        <f t="shared" ref="W95" si="112">WEEKDAY(V95)</f>
        <v>3</v>
      </c>
      <c r="AC95" t="s">
        <v>198</v>
      </c>
      <c r="AD95" s="61">
        <f t="shared" si="87"/>
        <v>45566</v>
      </c>
      <c r="AE95">
        <f t="shared" si="76"/>
        <v>159</v>
      </c>
      <c r="AF95">
        <f t="shared" si="77"/>
        <v>159</v>
      </c>
      <c r="AG95">
        <f t="shared" si="78"/>
        <v>151</v>
      </c>
      <c r="AH95">
        <f t="shared" si="79"/>
        <v>151</v>
      </c>
      <c r="AI95">
        <f t="shared" si="80"/>
        <v>151</v>
      </c>
      <c r="AJ95"/>
      <c r="AK95" s="95" t="s">
        <v>384</v>
      </c>
      <c r="AL95" s="95" t="s">
        <v>385</v>
      </c>
      <c r="AM95" s="95" t="s">
        <v>97</v>
      </c>
      <c r="AN95" s="95" t="s">
        <v>93</v>
      </c>
    </row>
    <row r="96" spans="15:40" x14ac:dyDescent="0.25">
      <c r="O96" s="61">
        <f t="shared" si="85"/>
        <v>45567</v>
      </c>
      <c r="P96" s="124">
        <f t="shared" si="81"/>
        <v>4</v>
      </c>
      <c r="Q96" s="180">
        <f t="shared" si="50"/>
        <v>1</v>
      </c>
      <c r="R96" s="180">
        <f t="shared" ref="Q96:U159" si="113">IF(OR($P96=2,$P96=3,$P96=4,$P96=5,$P96=6),1,"")</f>
        <v>1</v>
      </c>
      <c r="S96" s="180">
        <f t="shared" si="113"/>
        <v>1</v>
      </c>
      <c r="T96" s="180">
        <f t="shared" si="113"/>
        <v>1</v>
      </c>
      <c r="U96" s="180">
        <f t="shared" si="113"/>
        <v>1</v>
      </c>
      <c r="V96" s="61">
        <f t="shared" si="82"/>
        <v>45567</v>
      </c>
      <c r="W96" s="124">
        <f t="shared" ref="W96" si="114">WEEKDAY(V96)</f>
        <v>4</v>
      </c>
      <c r="Z96" t="s">
        <v>178</v>
      </c>
      <c r="AC96" t="s">
        <v>199</v>
      </c>
      <c r="AD96" s="61">
        <f t="shared" si="87"/>
        <v>45567</v>
      </c>
      <c r="AE96">
        <f t="shared" si="76"/>
        <v>158</v>
      </c>
      <c r="AF96">
        <f t="shared" si="77"/>
        <v>158</v>
      </c>
      <c r="AG96">
        <f t="shared" si="78"/>
        <v>150</v>
      </c>
      <c r="AH96">
        <f t="shared" si="79"/>
        <v>150</v>
      </c>
      <c r="AI96">
        <f t="shared" si="80"/>
        <v>150</v>
      </c>
      <c r="AJ96"/>
      <c r="AK96" s="95" t="s">
        <v>386</v>
      </c>
      <c r="AL96" s="95" t="s">
        <v>387</v>
      </c>
      <c r="AM96" s="95" t="s">
        <v>117</v>
      </c>
      <c r="AN96" s="95" t="s">
        <v>93</v>
      </c>
    </row>
    <row r="97" spans="15:40" x14ac:dyDescent="0.25">
      <c r="O97" s="61">
        <f t="shared" si="85"/>
        <v>45568</v>
      </c>
      <c r="P97" s="124">
        <f t="shared" si="81"/>
        <v>5</v>
      </c>
      <c r="Q97" s="180">
        <f t="shared" si="113"/>
        <v>1</v>
      </c>
      <c r="R97" s="180">
        <f t="shared" si="113"/>
        <v>1</v>
      </c>
      <c r="S97" s="180">
        <f t="shared" si="113"/>
        <v>1</v>
      </c>
      <c r="T97" s="180">
        <f t="shared" si="113"/>
        <v>1</v>
      </c>
      <c r="U97" s="180">
        <f t="shared" si="113"/>
        <v>1</v>
      </c>
      <c r="V97" s="61">
        <f t="shared" si="82"/>
        <v>45568</v>
      </c>
      <c r="W97" s="124">
        <f t="shared" ref="W97" si="115">WEEKDAY(V97)</f>
        <v>5</v>
      </c>
      <c r="Z97" t="s">
        <v>178</v>
      </c>
      <c r="AC97" t="s">
        <v>198</v>
      </c>
      <c r="AD97" s="61">
        <f t="shared" si="87"/>
        <v>45568</v>
      </c>
      <c r="AE97">
        <f t="shared" si="76"/>
        <v>157</v>
      </c>
      <c r="AF97">
        <f t="shared" si="77"/>
        <v>157</v>
      </c>
      <c r="AG97">
        <f t="shared" si="78"/>
        <v>149</v>
      </c>
      <c r="AH97">
        <f t="shared" si="79"/>
        <v>149</v>
      </c>
      <c r="AI97">
        <f t="shared" si="80"/>
        <v>149</v>
      </c>
      <c r="AJ97"/>
      <c r="AK97" s="95" t="s">
        <v>388</v>
      </c>
      <c r="AL97" s="95" t="s">
        <v>389</v>
      </c>
      <c r="AM97" s="95" t="s">
        <v>135</v>
      </c>
      <c r="AN97" s="95" t="s">
        <v>129</v>
      </c>
    </row>
    <row r="98" spans="15:40" x14ac:dyDescent="0.25">
      <c r="O98" s="61">
        <f t="shared" si="85"/>
        <v>45569</v>
      </c>
      <c r="P98" s="124">
        <f t="shared" si="81"/>
        <v>6</v>
      </c>
      <c r="Q98" s="180">
        <f t="shared" si="113"/>
        <v>1</v>
      </c>
      <c r="R98" s="180">
        <f t="shared" si="113"/>
        <v>1</v>
      </c>
      <c r="S98" s="180">
        <f t="shared" si="113"/>
        <v>1</v>
      </c>
      <c r="T98" s="180">
        <f t="shared" si="113"/>
        <v>1</v>
      </c>
      <c r="U98" s="180">
        <f t="shared" si="113"/>
        <v>1</v>
      </c>
      <c r="V98" s="61">
        <f t="shared" si="82"/>
        <v>45569</v>
      </c>
      <c r="W98" s="124">
        <f t="shared" ref="W98" si="116">WEEKDAY(V98)</f>
        <v>6</v>
      </c>
      <c r="X98" t="s">
        <v>478</v>
      </c>
      <c r="Z98" t="s">
        <v>478</v>
      </c>
      <c r="AC98" t="s">
        <v>199</v>
      </c>
      <c r="AD98" s="61">
        <f t="shared" si="87"/>
        <v>45569</v>
      </c>
      <c r="AE98">
        <f t="shared" si="76"/>
        <v>156</v>
      </c>
      <c r="AF98">
        <f t="shared" si="77"/>
        <v>156</v>
      </c>
      <c r="AG98">
        <f t="shared" si="78"/>
        <v>148</v>
      </c>
      <c r="AH98">
        <f t="shared" si="79"/>
        <v>148</v>
      </c>
      <c r="AI98">
        <f t="shared" si="80"/>
        <v>148</v>
      </c>
      <c r="AJ98"/>
      <c r="AK98" s="95" t="s">
        <v>390</v>
      </c>
      <c r="AL98" s="95" t="s">
        <v>391</v>
      </c>
      <c r="AM98" s="95" t="s">
        <v>131</v>
      </c>
      <c r="AN98" s="95" t="s">
        <v>129</v>
      </c>
    </row>
    <row r="99" spans="15:40" x14ac:dyDescent="0.25">
      <c r="O99" s="61">
        <f t="shared" si="85"/>
        <v>45570</v>
      </c>
      <c r="P99" s="124">
        <f t="shared" si="81"/>
        <v>7</v>
      </c>
      <c r="Q99" s="180" t="str">
        <f t="shared" si="113"/>
        <v/>
      </c>
      <c r="R99" s="180" t="str">
        <f t="shared" si="113"/>
        <v/>
      </c>
      <c r="S99" s="180" t="str">
        <f t="shared" si="113"/>
        <v/>
      </c>
      <c r="T99" s="180" t="str">
        <f t="shared" si="113"/>
        <v/>
      </c>
      <c r="U99" s="180" t="str">
        <f t="shared" si="113"/>
        <v/>
      </c>
      <c r="V99" s="61">
        <f t="shared" si="82"/>
        <v>45570</v>
      </c>
      <c r="W99" s="124">
        <f t="shared" ref="W99" si="117">WEEKDAY(V99)</f>
        <v>7</v>
      </c>
      <c r="AD99" s="61">
        <f t="shared" si="87"/>
        <v>45570</v>
      </c>
      <c r="AE99">
        <f t="shared" si="76"/>
        <v>156</v>
      </c>
      <c r="AF99">
        <f t="shared" si="77"/>
        <v>156</v>
      </c>
      <c r="AG99">
        <f t="shared" si="78"/>
        <v>148</v>
      </c>
      <c r="AH99">
        <f t="shared" si="79"/>
        <v>148</v>
      </c>
      <c r="AI99">
        <f t="shared" si="80"/>
        <v>148</v>
      </c>
      <c r="AJ99"/>
      <c r="AK99" s="95" t="s">
        <v>392</v>
      </c>
      <c r="AL99" s="95" t="s">
        <v>393</v>
      </c>
      <c r="AM99" s="95" t="s">
        <v>153</v>
      </c>
      <c r="AN99" s="95" t="s">
        <v>145</v>
      </c>
    </row>
    <row r="100" spans="15:40" x14ac:dyDescent="0.25">
      <c r="O100" s="61">
        <f t="shared" si="85"/>
        <v>45571</v>
      </c>
      <c r="P100" s="124">
        <f t="shared" si="81"/>
        <v>1</v>
      </c>
      <c r="Q100" s="180" t="str">
        <f t="shared" si="113"/>
        <v/>
      </c>
      <c r="R100" s="180" t="str">
        <f t="shared" si="113"/>
        <v/>
      </c>
      <c r="S100" s="180" t="str">
        <f t="shared" si="113"/>
        <v/>
      </c>
      <c r="T100" s="180" t="str">
        <f t="shared" si="113"/>
        <v/>
      </c>
      <c r="U100" s="180" t="str">
        <f t="shared" si="113"/>
        <v/>
      </c>
      <c r="V100" s="61">
        <f t="shared" si="82"/>
        <v>45571</v>
      </c>
      <c r="W100" s="124">
        <f t="shared" ref="W100" si="118">WEEKDAY(V100)</f>
        <v>1</v>
      </c>
      <c r="AD100" s="61">
        <f t="shared" si="87"/>
        <v>45571</v>
      </c>
      <c r="AE100">
        <f t="shared" si="76"/>
        <v>156</v>
      </c>
      <c r="AF100">
        <f t="shared" si="77"/>
        <v>156</v>
      </c>
      <c r="AG100">
        <f t="shared" si="78"/>
        <v>148</v>
      </c>
      <c r="AH100">
        <f t="shared" si="79"/>
        <v>148</v>
      </c>
      <c r="AI100">
        <f t="shared" si="80"/>
        <v>148</v>
      </c>
      <c r="AJ100"/>
      <c r="AK100" s="95" t="s">
        <v>394</v>
      </c>
      <c r="AL100" s="95" t="s">
        <v>150</v>
      </c>
      <c r="AM100" s="95" t="s">
        <v>150</v>
      </c>
      <c r="AN100" s="95" t="s">
        <v>228</v>
      </c>
    </row>
    <row r="101" spans="15:40" x14ac:dyDescent="0.25">
      <c r="O101" s="61">
        <f t="shared" si="85"/>
        <v>45572</v>
      </c>
      <c r="P101" s="124">
        <f t="shared" si="81"/>
        <v>2</v>
      </c>
      <c r="Q101" s="180">
        <f t="shared" si="113"/>
        <v>1</v>
      </c>
      <c r="R101" s="180">
        <f t="shared" si="113"/>
        <v>1</v>
      </c>
      <c r="S101" s="180">
        <f t="shared" si="113"/>
        <v>1</v>
      </c>
      <c r="T101" s="180">
        <f t="shared" si="113"/>
        <v>1</v>
      </c>
      <c r="U101" s="180">
        <f t="shared" si="113"/>
        <v>1</v>
      </c>
      <c r="V101" s="61">
        <f t="shared" si="82"/>
        <v>45572</v>
      </c>
      <c r="W101" s="124">
        <f t="shared" ref="W101" si="119">WEEKDAY(V101)</f>
        <v>2</v>
      </c>
      <c r="AC101" t="s">
        <v>198</v>
      </c>
      <c r="AD101" s="61">
        <f t="shared" si="87"/>
        <v>45572</v>
      </c>
      <c r="AE101">
        <f t="shared" si="76"/>
        <v>155</v>
      </c>
      <c r="AF101">
        <f t="shared" si="77"/>
        <v>155</v>
      </c>
      <c r="AG101">
        <f t="shared" si="78"/>
        <v>147</v>
      </c>
      <c r="AH101">
        <f t="shared" si="79"/>
        <v>147</v>
      </c>
      <c r="AI101">
        <f t="shared" si="80"/>
        <v>147</v>
      </c>
      <c r="AJ101"/>
      <c r="AK101" s="95" t="s">
        <v>395</v>
      </c>
      <c r="AL101" s="95" t="s">
        <v>396</v>
      </c>
      <c r="AM101" s="95" t="s">
        <v>118</v>
      </c>
      <c r="AN101" s="95" t="s">
        <v>93</v>
      </c>
    </row>
    <row r="102" spans="15:40" x14ac:dyDescent="0.25">
      <c r="O102" s="61">
        <f t="shared" si="85"/>
        <v>45573</v>
      </c>
      <c r="P102" s="124">
        <f t="shared" si="81"/>
        <v>3</v>
      </c>
      <c r="Q102" s="180">
        <f t="shared" si="113"/>
        <v>1</v>
      </c>
      <c r="R102" s="180">
        <f t="shared" si="113"/>
        <v>1</v>
      </c>
      <c r="S102" s="180">
        <f t="shared" si="113"/>
        <v>1</v>
      </c>
      <c r="T102" s="180">
        <f t="shared" si="113"/>
        <v>1</v>
      </c>
      <c r="U102" s="180">
        <f t="shared" si="113"/>
        <v>1</v>
      </c>
      <c r="V102" s="61">
        <f t="shared" si="82"/>
        <v>45573</v>
      </c>
      <c r="W102" s="124">
        <f t="shared" ref="W102" si="120">WEEKDAY(V102)</f>
        <v>3</v>
      </c>
      <c r="AC102" t="s">
        <v>199</v>
      </c>
      <c r="AD102" s="61">
        <f t="shared" si="87"/>
        <v>45573</v>
      </c>
      <c r="AE102">
        <f t="shared" si="76"/>
        <v>154</v>
      </c>
      <c r="AF102">
        <f t="shared" si="77"/>
        <v>154</v>
      </c>
      <c r="AG102">
        <f t="shared" si="78"/>
        <v>146</v>
      </c>
      <c r="AH102">
        <f t="shared" si="79"/>
        <v>146</v>
      </c>
      <c r="AI102">
        <f t="shared" si="80"/>
        <v>146</v>
      </c>
      <c r="AJ102"/>
      <c r="AK102" s="95" t="s">
        <v>397</v>
      </c>
      <c r="AL102" s="95" t="s">
        <v>398</v>
      </c>
      <c r="AM102" s="95" t="s">
        <v>85</v>
      </c>
      <c r="AN102" s="95" t="s">
        <v>84</v>
      </c>
    </row>
    <row r="103" spans="15:40" x14ac:dyDescent="0.25">
      <c r="O103" s="61">
        <f t="shared" si="85"/>
        <v>45574</v>
      </c>
      <c r="P103" s="124">
        <f t="shared" si="81"/>
        <v>4</v>
      </c>
      <c r="Q103" s="180">
        <f t="shared" si="113"/>
        <v>1</v>
      </c>
      <c r="R103" s="180">
        <f t="shared" si="113"/>
        <v>1</v>
      </c>
      <c r="S103" s="180">
        <f t="shared" si="113"/>
        <v>1</v>
      </c>
      <c r="T103" s="180">
        <f t="shared" si="113"/>
        <v>1</v>
      </c>
      <c r="U103" s="180">
        <f t="shared" si="113"/>
        <v>1</v>
      </c>
      <c r="V103" s="61">
        <f t="shared" si="82"/>
        <v>45574</v>
      </c>
      <c r="W103" s="124">
        <f t="shared" ref="W103" si="121">WEEKDAY(V103)</f>
        <v>4</v>
      </c>
      <c r="AC103" t="s">
        <v>198</v>
      </c>
      <c r="AD103" s="61">
        <f t="shared" si="87"/>
        <v>45574</v>
      </c>
      <c r="AE103">
        <f t="shared" si="76"/>
        <v>153</v>
      </c>
      <c r="AF103">
        <f t="shared" si="77"/>
        <v>153</v>
      </c>
      <c r="AG103">
        <f t="shared" si="78"/>
        <v>145</v>
      </c>
      <c r="AH103">
        <f t="shared" si="79"/>
        <v>145</v>
      </c>
      <c r="AI103">
        <f t="shared" si="80"/>
        <v>145</v>
      </c>
      <c r="AJ103"/>
      <c r="AK103" s="95" t="s">
        <v>399</v>
      </c>
      <c r="AL103" s="95" t="s">
        <v>400</v>
      </c>
      <c r="AM103" s="95" t="s">
        <v>136</v>
      </c>
      <c r="AN103" s="95" t="s">
        <v>129</v>
      </c>
    </row>
    <row r="104" spans="15:40" x14ac:dyDescent="0.25">
      <c r="O104" s="61">
        <f t="shared" si="85"/>
        <v>45575</v>
      </c>
      <c r="P104" s="124">
        <f t="shared" si="81"/>
        <v>5</v>
      </c>
      <c r="Q104" s="180">
        <f t="shared" si="113"/>
        <v>1</v>
      </c>
      <c r="R104" s="180">
        <f t="shared" si="113"/>
        <v>1</v>
      </c>
      <c r="S104" s="180">
        <f t="shared" si="113"/>
        <v>1</v>
      </c>
      <c r="T104" s="180">
        <f t="shared" si="113"/>
        <v>1</v>
      </c>
      <c r="U104" s="180">
        <f t="shared" si="113"/>
        <v>1</v>
      </c>
      <c r="V104" s="61">
        <f t="shared" si="82"/>
        <v>45575</v>
      </c>
      <c r="W104" s="124">
        <f t="shared" ref="W104" si="122">WEEKDAY(V104)</f>
        <v>5</v>
      </c>
      <c r="AC104" t="s">
        <v>199</v>
      </c>
      <c r="AD104" s="61">
        <f t="shared" si="87"/>
        <v>45575</v>
      </c>
      <c r="AE104">
        <f t="shared" si="76"/>
        <v>152</v>
      </c>
      <c r="AF104">
        <f t="shared" si="77"/>
        <v>152</v>
      </c>
      <c r="AG104">
        <f t="shared" si="78"/>
        <v>144</v>
      </c>
      <c r="AH104">
        <f t="shared" si="79"/>
        <v>144</v>
      </c>
      <c r="AI104">
        <f t="shared" si="80"/>
        <v>144</v>
      </c>
      <c r="AJ104"/>
      <c r="AK104" s="95" t="s">
        <v>462</v>
      </c>
      <c r="AL104" s="95" t="s">
        <v>463</v>
      </c>
      <c r="AM104" s="95" t="s">
        <v>464</v>
      </c>
      <c r="AN104" s="95" t="s">
        <v>84</v>
      </c>
    </row>
    <row r="105" spans="15:40" x14ac:dyDescent="0.25">
      <c r="O105" s="61">
        <f t="shared" si="85"/>
        <v>45576</v>
      </c>
      <c r="P105" s="124">
        <f t="shared" si="81"/>
        <v>6</v>
      </c>
      <c r="Q105" s="180">
        <f t="shared" si="113"/>
        <v>1</v>
      </c>
      <c r="R105" s="180">
        <f t="shared" si="113"/>
        <v>1</v>
      </c>
      <c r="S105" s="180">
        <f t="shared" si="113"/>
        <v>1</v>
      </c>
      <c r="T105" s="180">
        <f t="shared" si="113"/>
        <v>1</v>
      </c>
      <c r="U105" s="180">
        <f t="shared" si="113"/>
        <v>1</v>
      </c>
      <c r="V105" s="61">
        <f t="shared" si="82"/>
        <v>45576</v>
      </c>
      <c r="W105" s="124">
        <f t="shared" ref="W105" si="123">WEEKDAY(V105)</f>
        <v>6</v>
      </c>
      <c r="AC105" t="s">
        <v>198</v>
      </c>
      <c r="AD105" s="61">
        <f t="shared" si="87"/>
        <v>45576</v>
      </c>
      <c r="AE105">
        <f t="shared" si="76"/>
        <v>151</v>
      </c>
      <c r="AF105">
        <f t="shared" si="77"/>
        <v>151</v>
      </c>
      <c r="AG105">
        <f t="shared" si="78"/>
        <v>143</v>
      </c>
      <c r="AH105">
        <f t="shared" si="79"/>
        <v>143</v>
      </c>
      <c r="AI105">
        <f t="shared" si="80"/>
        <v>143</v>
      </c>
      <c r="AJ105"/>
      <c r="AK105" s="95" t="s">
        <v>401</v>
      </c>
      <c r="AL105" s="95" t="s">
        <v>402</v>
      </c>
      <c r="AM105" s="95" t="s">
        <v>225</v>
      </c>
      <c r="AN105" s="95" t="s">
        <v>84</v>
      </c>
    </row>
    <row r="106" spans="15:40" x14ac:dyDescent="0.25">
      <c r="O106" s="61">
        <f t="shared" si="85"/>
        <v>45577</v>
      </c>
      <c r="P106" s="124">
        <f t="shared" si="81"/>
        <v>7</v>
      </c>
      <c r="Q106" s="180" t="str">
        <f t="shared" si="113"/>
        <v/>
      </c>
      <c r="R106" s="180" t="str">
        <f t="shared" si="113"/>
        <v/>
      </c>
      <c r="S106" s="180" t="str">
        <f t="shared" si="113"/>
        <v/>
      </c>
      <c r="T106" s="180" t="str">
        <f t="shared" si="113"/>
        <v/>
      </c>
      <c r="U106" s="180" t="str">
        <f t="shared" si="113"/>
        <v/>
      </c>
      <c r="V106" s="61">
        <f t="shared" si="82"/>
        <v>45577</v>
      </c>
      <c r="W106" s="124">
        <f t="shared" ref="W106" si="124">WEEKDAY(V106)</f>
        <v>7</v>
      </c>
      <c r="AD106" s="61">
        <f t="shared" si="87"/>
        <v>45577</v>
      </c>
      <c r="AE106">
        <f t="shared" si="76"/>
        <v>151</v>
      </c>
      <c r="AF106">
        <f t="shared" si="77"/>
        <v>151</v>
      </c>
      <c r="AG106">
        <f t="shared" si="78"/>
        <v>143</v>
      </c>
      <c r="AH106">
        <f t="shared" si="79"/>
        <v>143</v>
      </c>
      <c r="AI106">
        <f t="shared" si="80"/>
        <v>143</v>
      </c>
      <c r="AJ106"/>
      <c r="AK106" s="95" t="s">
        <v>403</v>
      </c>
      <c r="AL106" s="95" t="s">
        <v>404</v>
      </c>
      <c r="AM106" s="95" t="s">
        <v>119</v>
      </c>
      <c r="AN106" s="95" t="s">
        <v>93</v>
      </c>
    </row>
    <row r="107" spans="15:40" x14ac:dyDescent="0.25">
      <c r="O107" s="61">
        <f t="shared" si="85"/>
        <v>45578</v>
      </c>
      <c r="P107" s="124">
        <f t="shared" si="81"/>
        <v>1</v>
      </c>
      <c r="Q107" s="180" t="str">
        <f t="shared" si="113"/>
        <v/>
      </c>
      <c r="R107" s="180" t="str">
        <f t="shared" si="113"/>
        <v/>
      </c>
      <c r="S107" s="180" t="str">
        <f t="shared" si="113"/>
        <v/>
      </c>
      <c r="T107" s="180" t="str">
        <f t="shared" si="113"/>
        <v/>
      </c>
      <c r="U107" s="180" t="str">
        <f t="shared" si="113"/>
        <v/>
      </c>
      <c r="V107" s="61">
        <f t="shared" si="82"/>
        <v>45578</v>
      </c>
      <c r="W107" s="124">
        <f t="shared" ref="W107" si="125">WEEKDAY(V107)</f>
        <v>1</v>
      </c>
      <c r="AD107" s="61">
        <f t="shared" si="87"/>
        <v>45578</v>
      </c>
      <c r="AE107">
        <f t="shared" si="76"/>
        <v>151</v>
      </c>
      <c r="AF107">
        <f t="shared" si="77"/>
        <v>151</v>
      </c>
      <c r="AG107">
        <f t="shared" si="78"/>
        <v>143</v>
      </c>
      <c r="AH107">
        <f t="shared" si="79"/>
        <v>143</v>
      </c>
      <c r="AI107">
        <f t="shared" si="80"/>
        <v>143</v>
      </c>
      <c r="AJ107"/>
      <c r="AK107" s="95" t="s">
        <v>405</v>
      </c>
      <c r="AL107" s="95" t="s">
        <v>406</v>
      </c>
      <c r="AM107" s="95" t="s">
        <v>226</v>
      </c>
      <c r="AN107" s="95" t="s">
        <v>84</v>
      </c>
    </row>
    <row r="108" spans="15:40" x14ac:dyDescent="0.25">
      <c r="O108" s="61">
        <f t="shared" si="85"/>
        <v>45579</v>
      </c>
      <c r="P108" s="124">
        <f t="shared" si="81"/>
        <v>2</v>
      </c>
      <c r="Q108" s="180">
        <f t="shared" si="113"/>
        <v>1</v>
      </c>
      <c r="R108" s="180">
        <f t="shared" si="113"/>
        <v>1</v>
      </c>
      <c r="S108" s="180">
        <f t="shared" si="113"/>
        <v>1</v>
      </c>
      <c r="T108" s="180">
        <f t="shared" si="113"/>
        <v>1</v>
      </c>
      <c r="U108" s="180">
        <f t="shared" si="113"/>
        <v>1</v>
      </c>
      <c r="V108" s="61">
        <f t="shared" si="82"/>
        <v>45579</v>
      </c>
      <c r="W108" s="124">
        <f t="shared" ref="W108" si="126">WEEKDAY(V108)</f>
        <v>2</v>
      </c>
      <c r="AC108" t="s">
        <v>199</v>
      </c>
      <c r="AD108" s="61">
        <f t="shared" si="87"/>
        <v>45579</v>
      </c>
      <c r="AE108">
        <f t="shared" si="76"/>
        <v>150</v>
      </c>
      <c r="AF108">
        <f t="shared" si="77"/>
        <v>150</v>
      </c>
      <c r="AG108">
        <f t="shared" si="78"/>
        <v>142</v>
      </c>
      <c r="AH108">
        <f t="shared" si="79"/>
        <v>142</v>
      </c>
      <c r="AI108">
        <f t="shared" si="80"/>
        <v>142</v>
      </c>
      <c r="AJ108"/>
      <c r="AK108" s="95" t="s">
        <v>407</v>
      </c>
      <c r="AL108" s="95" t="s">
        <v>144</v>
      </c>
      <c r="AM108" s="95" t="s">
        <v>144</v>
      </c>
      <c r="AN108" s="95" t="s">
        <v>140</v>
      </c>
    </row>
    <row r="109" spans="15:40" x14ac:dyDescent="0.25">
      <c r="O109" s="61">
        <f t="shared" si="85"/>
        <v>45580</v>
      </c>
      <c r="P109" s="124">
        <f t="shared" si="81"/>
        <v>3</v>
      </c>
      <c r="Q109" s="180">
        <f t="shared" si="113"/>
        <v>1</v>
      </c>
      <c r="R109" s="180">
        <f t="shared" si="113"/>
        <v>1</v>
      </c>
      <c r="S109" s="180">
        <f t="shared" si="113"/>
        <v>1</v>
      </c>
      <c r="T109" s="180">
        <f t="shared" si="113"/>
        <v>1</v>
      </c>
      <c r="U109" s="180">
        <f t="shared" si="113"/>
        <v>1</v>
      </c>
      <c r="V109" s="61">
        <f t="shared" si="82"/>
        <v>45580</v>
      </c>
      <c r="W109" s="124">
        <f t="shared" ref="W109" si="127">WEEKDAY(V109)</f>
        <v>3</v>
      </c>
      <c r="AC109" t="s">
        <v>198</v>
      </c>
      <c r="AD109" s="61">
        <f t="shared" si="87"/>
        <v>45580</v>
      </c>
      <c r="AE109">
        <f t="shared" si="76"/>
        <v>149</v>
      </c>
      <c r="AF109">
        <f t="shared" si="77"/>
        <v>149</v>
      </c>
      <c r="AG109">
        <f t="shared" si="78"/>
        <v>141</v>
      </c>
      <c r="AH109">
        <f t="shared" si="79"/>
        <v>141</v>
      </c>
      <c r="AI109">
        <f t="shared" si="80"/>
        <v>141</v>
      </c>
      <c r="AJ109"/>
      <c r="AK109" s="95" t="s">
        <v>408</v>
      </c>
      <c r="AL109" s="95" t="s">
        <v>409</v>
      </c>
      <c r="AM109" s="95" t="s">
        <v>121</v>
      </c>
      <c r="AN109" s="95" t="s">
        <v>93</v>
      </c>
    </row>
    <row r="110" spans="15:40" x14ac:dyDescent="0.25">
      <c r="O110" s="61">
        <f t="shared" si="85"/>
        <v>45581</v>
      </c>
      <c r="P110" s="124">
        <f t="shared" si="81"/>
        <v>4</v>
      </c>
      <c r="Q110" s="180">
        <f t="shared" si="113"/>
        <v>1</v>
      </c>
      <c r="R110" s="180">
        <f t="shared" si="113"/>
        <v>1</v>
      </c>
      <c r="S110" s="180">
        <f t="shared" si="113"/>
        <v>1</v>
      </c>
      <c r="T110" s="180">
        <f t="shared" si="113"/>
        <v>1</v>
      </c>
      <c r="U110" s="180">
        <f t="shared" si="113"/>
        <v>1</v>
      </c>
      <c r="V110" s="61">
        <f t="shared" si="82"/>
        <v>45581</v>
      </c>
      <c r="W110" s="124">
        <f t="shared" ref="W110" si="128">WEEKDAY(V110)</f>
        <v>4</v>
      </c>
      <c r="AC110" t="s">
        <v>199</v>
      </c>
      <c r="AD110" s="61">
        <f t="shared" si="87"/>
        <v>45581</v>
      </c>
      <c r="AE110">
        <f t="shared" si="76"/>
        <v>148</v>
      </c>
      <c r="AF110">
        <f t="shared" si="77"/>
        <v>148</v>
      </c>
      <c r="AG110">
        <f t="shared" si="78"/>
        <v>140</v>
      </c>
      <c r="AH110">
        <f t="shared" si="79"/>
        <v>140</v>
      </c>
      <c r="AI110">
        <f t="shared" si="80"/>
        <v>140</v>
      </c>
      <c r="AJ110"/>
      <c r="AK110" s="95" t="s">
        <v>410</v>
      </c>
      <c r="AL110" s="95" t="s">
        <v>411</v>
      </c>
      <c r="AM110" s="95" t="s">
        <v>134</v>
      </c>
      <c r="AN110" s="95" t="s">
        <v>129</v>
      </c>
    </row>
    <row r="111" spans="15:40" x14ac:dyDescent="0.25">
      <c r="O111" s="61">
        <f t="shared" si="85"/>
        <v>45582</v>
      </c>
      <c r="P111" s="124">
        <f t="shared" si="81"/>
        <v>5</v>
      </c>
      <c r="Q111" s="180">
        <f t="shared" si="113"/>
        <v>1</v>
      </c>
      <c r="R111" s="180">
        <f t="shared" si="113"/>
        <v>1</v>
      </c>
      <c r="S111" s="180">
        <f t="shared" si="113"/>
        <v>1</v>
      </c>
      <c r="T111" s="180">
        <f t="shared" si="113"/>
        <v>1</v>
      </c>
      <c r="U111" s="180">
        <f t="shared" si="113"/>
        <v>1</v>
      </c>
      <c r="V111" s="61">
        <f t="shared" si="82"/>
        <v>45582</v>
      </c>
      <c r="W111" s="124">
        <f t="shared" ref="W111" si="129">WEEKDAY(V111)</f>
        <v>5</v>
      </c>
      <c r="AC111" t="s">
        <v>198</v>
      </c>
      <c r="AD111" s="61">
        <f t="shared" si="87"/>
        <v>45582</v>
      </c>
      <c r="AE111">
        <f t="shared" si="76"/>
        <v>147</v>
      </c>
      <c r="AF111">
        <f t="shared" si="77"/>
        <v>147</v>
      </c>
      <c r="AG111">
        <f t="shared" si="78"/>
        <v>139</v>
      </c>
      <c r="AH111">
        <f t="shared" si="79"/>
        <v>139</v>
      </c>
      <c r="AI111">
        <f t="shared" si="80"/>
        <v>139</v>
      </c>
      <c r="AJ111"/>
      <c r="AK111" s="95" t="s">
        <v>412</v>
      </c>
      <c r="AL111" s="95" t="s">
        <v>413</v>
      </c>
      <c r="AM111" s="95" t="s">
        <v>146</v>
      </c>
      <c r="AN111" s="95" t="s">
        <v>140</v>
      </c>
    </row>
    <row r="112" spans="15:40" x14ac:dyDescent="0.25">
      <c r="O112" s="61">
        <f t="shared" si="85"/>
        <v>45583</v>
      </c>
      <c r="P112" s="124">
        <f t="shared" si="81"/>
        <v>6</v>
      </c>
      <c r="Q112" s="180">
        <f t="shared" si="113"/>
        <v>1</v>
      </c>
      <c r="R112" s="180">
        <f t="shared" si="113"/>
        <v>1</v>
      </c>
      <c r="S112" s="180">
        <f t="shared" si="113"/>
        <v>1</v>
      </c>
      <c r="T112" s="180">
        <f t="shared" si="113"/>
        <v>1</v>
      </c>
      <c r="U112" s="180">
        <f t="shared" si="113"/>
        <v>1</v>
      </c>
      <c r="V112" s="61">
        <f t="shared" si="82"/>
        <v>45583</v>
      </c>
      <c r="W112" s="124">
        <f t="shared" ref="W112" si="130">WEEKDAY(V112)</f>
        <v>6</v>
      </c>
      <c r="AC112" t="s">
        <v>199</v>
      </c>
      <c r="AD112" s="61">
        <f t="shared" si="87"/>
        <v>45583</v>
      </c>
      <c r="AE112">
        <f t="shared" si="76"/>
        <v>146</v>
      </c>
      <c r="AF112">
        <f t="shared" si="77"/>
        <v>146</v>
      </c>
      <c r="AG112">
        <f t="shared" si="78"/>
        <v>138</v>
      </c>
      <c r="AH112">
        <f t="shared" si="79"/>
        <v>138</v>
      </c>
      <c r="AI112">
        <f t="shared" si="80"/>
        <v>138</v>
      </c>
      <c r="AJ112"/>
      <c r="AK112" s="95" t="s">
        <v>414</v>
      </c>
      <c r="AL112" s="95" t="s">
        <v>415</v>
      </c>
      <c r="AM112" s="95" t="s">
        <v>132</v>
      </c>
      <c r="AN112" s="95" t="s">
        <v>129</v>
      </c>
    </row>
    <row r="113" spans="15:40" x14ac:dyDescent="0.25">
      <c r="O113" s="61">
        <f t="shared" si="85"/>
        <v>45584</v>
      </c>
      <c r="P113" s="124">
        <f t="shared" si="81"/>
        <v>7</v>
      </c>
      <c r="Q113" s="180" t="str">
        <f t="shared" si="113"/>
        <v/>
      </c>
      <c r="R113" s="180" t="str">
        <f t="shared" si="113"/>
        <v/>
      </c>
      <c r="S113" s="180" t="str">
        <f t="shared" si="113"/>
        <v/>
      </c>
      <c r="T113" s="180" t="str">
        <f t="shared" si="113"/>
        <v/>
      </c>
      <c r="U113" s="180" t="str">
        <f t="shared" si="113"/>
        <v/>
      </c>
      <c r="V113" s="61">
        <f t="shared" si="82"/>
        <v>45584</v>
      </c>
      <c r="W113" s="124">
        <f t="shared" ref="W113" si="131">WEEKDAY(V113)</f>
        <v>7</v>
      </c>
      <c r="AD113" s="61">
        <f t="shared" si="87"/>
        <v>45584</v>
      </c>
      <c r="AE113">
        <f t="shared" si="76"/>
        <v>146</v>
      </c>
      <c r="AF113">
        <f t="shared" si="77"/>
        <v>146</v>
      </c>
      <c r="AG113">
        <f t="shared" si="78"/>
        <v>138</v>
      </c>
      <c r="AH113">
        <f t="shared" si="79"/>
        <v>138</v>
      </c>
      <c r="AI113">
        <f t="shared" si="80"/>
        <v>138</v>
      </c>
      <c r="AJ113"/>
      <c r="AK113" s="95" t="s">
        <v>416</v>
      </c>
      <c r="AL113" s="95" t="s">
        <v>417</v>
      </c>
      <c r="AM113" s="95" t="s">
        <v>123</v>
      </c>
      <c r="AN113" s="95" t="s">
        <v>93</v>
      </c>
    </row>
    <row r="114" spans="15:40" x14ac:dyDescent="0.25">
      <c r="O114" s="61">
        <f t="shared" si="85"/>
        <v>45585</v>
      </c>
      <c r="P114" s="124">
        <f t="shared" si="81"/>
        <v>1</v>
      </c>
      <c r="Q114" s="180" t="str">
        <f t="shared" si="113"/>
        <v/>
      </c>
      <c r="R114" s="180" t="str">
        <f t="shared" si="113"/>
        <v/>
      </c>
      <c r="S114" s="180" t="str">
        <f t="shared" si="113"/>
        <v/>
      </c>
      <c r="T114" s="180" t="str">
        <f t="shared" si="113"/>
        <v/>
      </c>
      <c r="U114" s="180" t="str">
        <f t="shared" si="113"/>
        <v/>
      </c>
      <c r="V114" s="61">
        <f t="shared" si="82"/>
        <v>45585</v>
      </c>
      <c r="W114" s="124">
        <f t="shared" ref="W114" si="132">WEEKDAY(V114)</f>
        <v>1</v>
      </c>
      <c r="AD114" s="61">
        <f t="shared" si="87"/>
        <v>45585</v>
      </c>
      <c r="AE114">
        <f t="shared" si="76"/>
        <v>146</v>
      </c>
      <c r="AF114">
        <f t="shared" si="77"/>
        <v>146</v>
      </c>
      <c r="AG114">
        <f t="shared" si="78"/>
        <v>138</v>
      </c>
      <c r="AH114">
        <f t="shared" si="79"/>
        <v>138</v>
      </c>
      <c r="AI114">
        <f t="shared" si="80"/>
        <v>138</v>
      </c>
      <c r="AJ114"/>
      <c r="AK114" s="95" t="s">
        <v>418</v>
      </c>
      <c r="AL114" s="95" t="s">
        <v>419</v>
      </c>
      <c r="AM114" s="95" t="s">
        <v>122</v>
      </c>
      <c r="AN114" s="95" t="s">
        <v>93</v>
      </c>
    </row>
    <row r="115" spans="15:40" x14ac:dyDescent="0.25">
      <c r="O115" s="61">
        <f t="shared" si="85"/>
        <v>45586</v>
      </c>
      <c r="P115" s="124">
        <f t="shared" si="81"/>
        <v>2</v>
      </c>
      <c r="Q115" s="180" t="s">
        <v>177</v>
      </c>
      <c r="R115" s="180" t="s">
        <v>177</v>
      </c>
      <c r="S115" s="180" t="s">
        <v>177</v>
      </c>
      <c r="T115" s="180" t="s">
        <v>177</v>
      </c>
      <c r="U115" s="180" t="s">
        <v>177</v>
      </c>
      <c r="V115" s="61">
        <f t="shared" si="82"/>
        <v>45586</v>
      </c>
      <c r="W115" s="124">
        <f t="shared" ref="W115" si="133">WEEKDAY(V115)</f>
        <v>2</v>
      </c>
      <c r="AD115" s="61">
        <f t="shared" si="87"/>
        <v>45586</v>
      </c>
      <c r="AE115">
        <f t="shared" si="76"/>
        <v>146</v>
      </c>
      <c r="AF115">
        <f t="shared" si="77"/>
        <v>146</v>
      </c>
      <c r="AG115">
        <f t="shared" si="78"/>
        <v>138</v>
      </c>
      <c r="AH115">
        <f t="shared" si="79"/>
        <v>138</v>
      </c>
      <c r="AI115">
        <f t="shared" si="80"/>
        <v>138</v>
      </c>
      <c r="AJ115"/>
    </row>
    <row r="116" spans="15:40" x14ac:dyDescent="0.25">
      <c r="O116" s="61">
        <f t="shared" si="85"/>
        <v>45587</v>
      </c>
      <c r="P116" s="124">
        <f t="shared" si="81"/>
        <v>3</v>
      </c>
      <c r="Q116" s="180" t="s">
        <v>177</v>
      </c>
      <c r="R116" s="180" t="s">
        <v>177</v>
      </c>
      <c r="S116" s="180" t="s">
        <v>177</v>
      </c>
      <c r="T116" s="180" t="s">
        <v>177</v>
      </c>
      <c r="U116" s="180" t="s">
        <v>177</v>
      </c>
      <c r="V116" s="61">
        <f t="shared" si="82"/>
        <v>45587</v>
      </c>
      <c r="W116" s="124">
        <f t="shared" ref="W116" si="134">WEEKDAY(V116)</f>
        <v>3</v>
      </c>
      <c r="AD116" s="61">
        <f t="shared" si="87"/>
        <v>45587</v>
      </c>
      <c r="AE116">
        <f t="shared" si="76"/>
        <v>146</v>
      </c>
      <c r="AF116">
        <f t="shared" si="77"/>
        <v>146</v>
      </c>
      <c r="AG116">
        <f t="shared" si="78"/>
        <v>138</v>
      </c>
      <c r="AH116">
        <f t="shared" si="79"/>
        <v>138</v>
      </c>
      <c r="AI116">
        <f t="shared" si="80"/>
        <v>138</v>
      </c>
      <c r="AJ116"/>
    </row>
    <row r="117" spans="15:40" x14ac:dyDescent="0.25">
      <c r="O117" s="61">
        <f t="shared" si="85"/>
        <v>45588</v>
      </c>
      <c r="P117" s="124">
        <f t="shared" si="81"/>
        <v>4</v>
      </c>
      <c r="Q117" s="180" t="s">
        <v>177</v>
      </c>
      <c r="R117" s="180" t="s">
        <v>177</v>
      </c>
      <c r="S117" s="180" t="s">
        <v>177</v>
      </c>
      <c r="T117" s="180" t="s">
        <v>177</v>
      </c>
      <c r="U117" s="180" t="s">
        <v>177</v>
      </c>
      <c r="V117" s="61">
        <f t="shared" si="82"/>
        <v>45588</v>
      </c>
      <c r="W117" s="124">
        <f t="shared" ref="W117" si="135">WEEKDAY(V117)</f>
        <v>4</v>
      </c>
      <c r="AD117" s="61">
        <f t="shared" si="87"/>
        <v>45588</v>
      </c>
      <c r="AE117">
        <f t="shared" si="76"/>
        <v>146</v>
      </c>
      <c r="AF117">
        <f t="shared" si="77"/>
        <v>146</v>
      </c>
      <c r="AG117">
        <f t="shared" si="78"/>
        <v>138</v>
      </c>
      <c r="AH117">
        <f t="shared" si="79"/>
        <v>138</v>
      </c>
      <c r="AI117">
        <f t="shared" si="80"/>
        <v>138</v>
      </c>
      <c r="AJ117"/>
    </row>
    <row r="118" spans="15:40" x14ac:dyDescent="0.25">
      <c r="O118" s="61">
        <f t="shared" si="85"/>
        <v>45589</v>
      </c>
      <c r="P118" s="124">
        <f t="shared" si="81"/>
        <v>5</v>
      </c>
      <c r="Q118" s="180" t="s">
        <v>177</v>
      </c>
      <c r="R118" s="180" t="s">
        <v>177</v>
      </c>
      <c r="S118" s="180" t="s">
        <v>177</v>
      </c>
      <c r="T118" s="180" t="s">
        <v>177</v>
      </c>
      <c r="U118" s="180" t="s">
        <v>177</v>
      </c>
      <c r="V118" s="61">
        <f t="shared" si="82"/>
        <v>45589</v>
      </c>
      <c r="W118" s="124">
        <f t="shared" ref="W118" si="136">WEEKDAY(V118)</f>
        <v>5</v>
      </c>
      <c r="AD118" s="61">
        <f t="shared" si="87"/>
        <v>45589</v>
      </c>
      <c r="AE118">
        <f t="shared" si="76"/>
        <v>146</v>
      </c>
      <c r="AF118">
        <f t="shared" si="77"/>
        <v>146</v>
      </c>
      <c r="AG118">
        <f t="shared" si="78"/>
        <v>138</v>
      </c>
      <c r="AH118">
        <f t="shared" si="79"/>
        <v>138</v>
      </c>
      <c r="AI118">
        <f t="shared" si="80"/>
        <v>138</v>
      </c>
      <c r="AJ118"/>
    </row>
    <row r="119" spans="15:40" x14ac:dyDescent="0.25">
      <c r="O119" s="61">
        <f t="shared" si="85"/>
        <v>45590</v>
      </c>
      <c r="P119" s="124">
        <f t="shared" si="81"/>
        <v>6</v>
      </c>
      <c r="Q119" s="180" t="s">
        <v>177</v>
      </c>
      <c r="R119" s="180" t="s">
        <v>177</v>
      </c>
      <c r="S119" s="180" t="s">
        <v>177</v>
      </c>
      <c r="T119" s="180" t="s">
        <v>177</v>
      </c>
      <c r="U119" s="180" t="s">
        <v>177</v>
      </c>
      <c r="V119" s="61">
        <f t="shared" si="82"/>
        <v>45590</v>
      </c>
      <c r="W119" s="124">
        <f t="shared" ref="W119" si="137">WEEKDAY(V119)</f>
        <v>6</v>
      </c>
      <c r="AD119" s="61">
        <f t="shared" si="87"/>
        <v>45590</v>
      </c>
      <c r="AE119">
        <f t="shared" si="76"/>
        <v>146</v>
      </c>
      <c r="AF119">
        <f t="shared" si="77"/>
        <v>146</v>
      </c>
      <c r="AG119">
        <f t="shared" si="78"/>
        <v>138</v>
      </c>
      <c r="AH119">
        <f t="shared" si="79"/>
        <v>138</v>
      </c>
      <c r="AI119">
        <f t="shared" si="80"/>
        <v>138</v>
      </c>
      <c r="AJ119"/>
    </row>
    <row r="120" spans="15:40" x14ac:dyDescent="0.25">
      <c r="O120" s="61">
        <f t="shared" si="85"/>
        <v>45591</v>
      </c>
      <c r="P120" s="124">
        <f t="shared" si="81"/>
        <v>7</v>
      </c>
      <c r="Q120" s="180" t="str">
        <f t="shared" ref="Q120:U123" si="138">IF(OR($P120=2,$P120=3,$P120=4,$P120=5,$P120=6),1,"")</f>
        <v/>
      </c>
      <c r="R120" s="180" t="str">
        <f t="shared" si="138"/>
        <v/>
      </c>
      <c r="S120" s="180" t="str">
        <f t="shared" si="138"/>
        <v/>
      </c>
      <c r="T120" s="180" t="str">
        <f t="shared" si="138"/>
        <v/>
      </c>
      <c r="U120" s="180" t="str">
        <f t="shared" si="138"/>
        <v/>
      </c>
      <c r="V120" s="61">
        <f t="shared" si="82"/>
        <v>45591</v>
      </c>
      <c r="W120" s="124">
        <f t="shared" ref="W120" si="139">WEEKDAY(V120)</f>
        <v>7</v>
      </c>
      <c r="AD120" s="61">
        <f t="shared" si="87"/>
        <v>45591</v>
      </c>
      <c r="AE120">
        <f t="shared" si="76"/>
        <v>146</v>
      </c>
      <c r="AF120">
        <f t="shared" si="77"/>
        <v>146</v>
      </c>
      <c r="AG120">
        <f t="shared" si="78"/>
        <v>138</v>
      </c>
      <c r="AH120">
        <f t="shared" si="79"/>
        <v>138</v>
      </c>
      <c r="AI120">
        <f t="shared" si="80"/>
        <v>138</v>
      </c>
      <c r="AJ120"/>
    </row>
    <row r="121" spans="15:40" x14ac:dyDescent="0.25">
      <c r="O121" s="61">
        <f t="shared" si="85"/>
        <v>45592</v>
      </c>
      <c r="P121" s="124">
        <f t="shared" si="81"/>
        <v>1</v>
      </c>
      <c r="Q121" s="180" t="str">
        <f t="shared" si="138"/>
        <v/>
      </c>
      <c r="R121" s="180" t="str">
        <f t="shared" si="138"/>
        <v/>
      </c>
      <c r="S121" s="180" t="str">
        <f t="shared" si="138"/>
        <v/>
      </c>
      <c r="T121" s="180" t="str">
        <f t="shared" si="138"/>
        <v/>
      </c>
      <c r="U121" s="180" t="str">
        <f t="shared" si="138"/>
        <v/>
      </c>
      <c r="V121" s="61">
        <f t="shared" si="82"/>
        <v>45592</v>
      </c>
      <c r="W121" s="124">
        <f t="shared" ref="W121" si="140">WEEKDAY(V121)</f>
        <v>1</v>
      </c>
      <c r="AD121" s="61">
        <f t="shared" si="87"/>
        <v>45592</v>
      </c>
      <c r="AE121">
        <f t="shared" si="76"/>
        <v>146</v>
      </c>
      <c r="AF121">
        <f t="shared" si="77"/>
        <v>146</v>
      </c>
      <c r="AG121">
        <f t="shared" si="78"/>
        <v>138</v>
      </c>
      <c r="AH121">
        <f t="shared" si="79"/>
        <v>138</v>
      </c>
      <c r="AI121">
        <f t="shared" si="80"/>
        <v>138</v>
      </c>
      <c r="AJ121"/>
    </row>
    <row r="122" spans="15:40" x14ac:dyDescent="0.25">
      <c r="O122" s="61">
        <f t="shared" si="85"/>
        <v>45593</v>
      </c>
      <c r="P122" s="124">
        <f t="shared" si="81"/>
        <v>2</v>
      </c>
      <c r="Q122" s="180" t="s">
        <v>155</v>
      </c>
      <c r="R122" s="180" t="s">
        <v>155</v>
      </c>
      <c r="S122" s="180" t="s">
        <v>155</v>
      </c>
      <c r="T122" s="180" t="s">
        <v>155</v>
      </c>
      <c r="U122" s="180" t="s">
        <v>155</v>
      </c>
      <c r="V122" s="61">
        <f t="shared" si="82"/>
        <v>45593</v>
      </c>
      <c r="W122" s="124">
        <f t="shared" ref="W122" si="141">WEEKDAY(V122)</f>
        <v>2</v>
      </c>
      <c r="X122" t="s">
        <v>479</v>
      </c>
      <c r="Y122" t="s">
        <v>479</v>
      </c>
      <c r="Z122" t="s">
        <v>479</v>
      </c>
      <c r="AA122" t="s">
        <v>479</v>
      </c>
      <c r="AB122" t="s">
        <v>479</v>
      </c>
      <c r="AD122" s="61">
        <f t="shared" si="87"/>
        <v>45593</v>
      </c>
      <c r="AE122">
        <f t="shared" si="76"/>
        <v>146</v>
      </c>
      <c r="AF122">
        <f t="shared" si="77"/>
        <v>146</v>
      </c>
      <c r="AG122">
        <f t="shared" si="78"/>
        <v>138</v>
      </c>
      <c r="AH122">
        <f t="shared" si="79"/>
        <v>138</v>
      </c>
      <c r="AI122">
        <f t="shared" si="80"/>
        <v>138</v>
      </c>
      <c r="AJ122"/>
    </row>
    <row r="123" spans="15:40" x14ac:dyDescent="0.25">
      <c r="O123" s="61">
        <f t="shared" si="85"/>
        <v>45594</v>
      </c>
      <c r="P123" s="124">
        <f t="shared" si="81"/>
        <v>3</v>
      </c>
      <c r="Q123" s="180">
        <f t="shared" si="138"/>
        <v>1</v>
      </c>
      <c r="R123" s="180">
        <f t="shared" si="138"/>
        <v>1</v>
      </c>
      <c r="S123" s="180">
        <f t="shared" si="138"/>
        <v>1</v>
      </c>
      <c r="T123" s="180">
        <f t="shared" si="138"/>
        <v>1</v>
      </c>
      <c r="U123" s="180">
        <f t="shared" si="138"/>
        <v>1</v>
      </c>
      <c r="V123" s="61">
        <f t="shared" si="82"/>
        <v>45594</v>
      </c>
      <c r="W123" s="124">
        <f t="shared" ref="W123" si="142">WEEKDAY(V123)</f>
        <v>3</v>
      </c>
      <c r="AC123" t="s">
        <v>198</v>
      </c>
      <c r="AD123" s="61">
        <f t="shared" si="87"/>
        <v>45594</v>
      </c>
      <c r="AE123">
        <f t="shared" si="76"/>
        <v>145</v>
      </c>
      <c r="AF123">
        <f t="shared" si="77"/>
        <v>145</v>
      </c>
      <c r="AG123">
        <f t="shared" si="78"/>
        <v>137</v>
      </c>
      <c r="AH123">
        <f t="shared" si="79"/>
        <v>137</v>
      </c>
      <c r="AI123">
        <f t="shared" si="80"/>
        <v>137</v>
      </c>
      <c r="AJ123"/>
    </row>
    <row r="124" spans="15:40" x14ac:dyDescent="0.25">
      <c r="O124" s="61">
        <f t="shared" si="85"/>
        <v>45595</v>
      </c>
      <c r="P124" s="124">
        <f t="shared" si="81"/>
        <v>4</v>
      </c>
      <c r="Q124" s="180">
        <f t="shared" si="113"/>
        <v>1</v>
      </c>
      <c r="R124" s="180">
        <f t="shared" si="113"/>
        <v>1</v>
      </c>
      <c r="S124" s="180">
        <f t="shared" si="113"/>
        <v>1</v>
      </c>
      <c r="T124" s="180">
        <f t="shared" si="113"/>
        <v>1</v>
      </c>
      <c r="U124" s="180">
        <f t="shared" si="113"/>
        <v>1</v>
      </c>
      <c r="V124" s="61">
        <f t="shared" si="82"/>
        <v>45595</v>
      </c>
      <c r="W124" s="124">
        <f t="shared" ref="W124" si="143">WEEKDAY(V124)</f>
        <v>4</v>
      </c>
      <c r="AC124" t="s">
        <v>199</v>
      </c>
      <c r="AD124" s="61">
        <f t="shared" si="87"/>
        <v>45595</v>
      </c>
      <c r="AE124">
        <f t="shared" si="76"/>
        <v>144</v>
      </c>
      <c r="AF124">
        <f t="shared" si="77"/>
        <v>144</v>
      </c>
      <c r="AG124">
        <f t="shared" si="78"/>
        <v>136</v>
      </c>
      <c r="AH124">
        <f t="shared" si="79"/>
        <v>136</v>
      </c>
      <c r="AI124">
        <f t="shared" si="80"/>
        <v>136</v>
      </c>
      <c r="AJ124"/>
    </row>
    <row r="125" spans="15:40" x14ac:dyDescent="0.25">
      <c r="O125" s="61">
        <f t="shared" si="85"/>
        <v>45596</v>
      </c>
      <c r="P125" s="124">
        <f t="shared" si="81"/>
        <v>5</v>
      </c>
      <c r="Q125" s="180">
        <f t="shared" si="113"/>
        <v>1</v>
      </c>
      <c r="R125" s="180">
        <f t="shared" si="113"/>
        <v>1</v>
      </c>
      <c r="S125" s="180">
        <f t="shared" si="113"/>
        <v>1</v>
      </c>
      <c r="T125" s="180">
        <f t="shared" si="113"/>
        <v>1</v>
      </c>
      <c r="U125" s="180">
        <f t="shared" si="113"/>
        <v>1</v>
      </c>
      <c r="V125" s="61">
        <f t="shared" si="82"/>
        <v>45596</v>
      </c>
      <c r="W125" s="124">
        <f t="shared" ref="W125" si="144">WEEKDAY(V125)</f>
        <v>5</v>
      </c>
      <c r="AC125" t="s">
        <v>198</v>
      </c>
      <c r="AD125" s="61">
        <f t="shared" si="87"/>
        <v>45596</v>
      </c>
      <c r="AE125">
        <f t="shared" si="76"/>
        <v>143</v>
      </c>
      <c r="AF125">
        <f t="shared" si="77"/>
        <v>143</v>
      </c>
      <c r="AG125">
        <f t="shared" si="78"/>
        <v>135</v>
      </c>
      <c r="AH125">
        <f t="shared" si="79"/>
        <v>135</v>
      </c>
      <c r="AI125">
        <f t="shared" si="80"/>
        <v>135</v>
      </c>
      <c r="AJ125"/>
    </row>
    <row r="126" spans="15:40" x14ac:dyDescent="0.25">
      <c r="O126" s="61">
        <f t="shared" si="85"/>
        <v>45597</v>
      </c>
      <c r="P126" s="124">
        <f t="shared" si="81"/>
        <v>6</v>
      </c>
      <c r="Q126" s="180">
        <f t="shared" si="113"/>
        <v>1</v>
      </c>
      <c r="R126" s="180">
        <f t="shared" si="113"/>
        <v>1</v>
      </c>
      <c r="S126" s="180">
        <f t="shared" si="113"/>
        <v>1</v>
      </c>
      <c r="T126" s="180">
        <f t="shared" si="113"/>
        <v>1</v>
      </c>
      <c r="U126" s="180">
        <f t="shared" si="113"/>
        <v>1</v>
      </c>
      <c r="V126" s="61">
        <f t="shared" si="82"/>
        <v>45597</v>
      </c>
      <c r="W126" s="124">
        <f t="shared" ref="W126" si="145">WEEKDAY(V126)</f>
        <v>6</v>
      </c>
      <c r="AC126" t="s">
        <v>199</v>
      </c>
      <c r="AD126" s="61">
        <f t="shared" si="87"/>
        <v>45597</v>
      </c>
      <c r="AE126">
        <f t="shared" si="76"/>
        <v>142</v>
      </c>
      <c r="AF126">
        <f t="shared" si="77"/>
        <v>142</v>
      </c>
      <c r="AG126">
        <f t="shared" si="78"/>
        <v>134</v>
      </c>
      <c r="AH126">
        <f t="shared" si="79"/>
        <v>134</v>
      </c>
      <c r="AI126">
        <f t="shared" si="80"/>
        <v>134</v>
      </c>
      <c r="AJ126"/>
    </row>
    <row r="127" spans="15:40" x14ac:dyDescent="0.25">
      <c r="O127" s="61">
        <f t="shared" si="85"/>
        <v>45598</v>
      </c>
      <c r="P127" s="124">
        <f t="shared" si="81"/>
        <v>7</v>
      </c>
      <c r="Q127" s="180" t="str">
        <f t="shared" si="113"/>
        <v/>
      </c>
      <c r="R127" s="180" t="str">
        <f t="shared" si="113"/>
        <v/>
      </c>
      <c r="S127" s="180" t="str">
        <f t="shared" si="113"/>
        <v/>
      </c>
      <c r="T127" s="180" t="str">
        <f t="shared" si="113"/>
        <v/>
      </c>
      <c r="U127" s="180" t="str">
        <f t="shared" si="113"/>
        <v/>
      </c>
      <c r="V127" s="61">
        <f t="shared" si="82"/>
        <v>45598</v>
      </c>
      <c r="W127" s="124">
        <f t="shared" ref="W127" si="146">WEEKDAY(V127)</f>
        <v>7</v>
      </c>
      <c r="AD127" s="61">
        <f t="shared" si="87"/>
        <v>45598</v>
      </c>
      <c r="AE127">
        <f t="shared" si="76"/>
        <v>142</v>
      </c>
      <c r="AF127">
        <f t="shared" si="77"/>
        <v>142</v>
      </c>
      <c r="AG127">
        <f t="shared" si="78"/>
        <v>134</v>
      </c>
      <c r="AH127">
        <f t="shared" si="79"/>
        <v>134</v>
      </c>
      <c r="AI127">
        <f t="shared" si="80"/>
        <v>134</v>
      </c>
      <c r="AJ127"/>
    </row>
    <row r="128" spans="15:40" x14ac:dyDescent="0.25">
      <c r="O128" s="61">
        <f t="shared" si="85"/>
        <v>45599</v>
      </c>
      <c r="P128" s="124">
        <f t="shared" si="81"/>
        <v>1</v>
      </c>
      <c r="Q128" s="180" t="str">
        <f t="shared" si="113"/>
        <v/>
      </c>
      <c r="R128" s="180" t="str">
        <f t="shared" si="113"/>
        <v/>
      </c>
      <c r="S128" s="180" t="str">
        <f t="shared" si="113"/>
        <v/>
      </c>
      <c r="T128" s="180" t="str">
        <f t="shared" si="113"/>
        <v/>
      </c>
      <c r="U128" s="180" t="str">
        <f t="shared" si="113"/>
        <v/>
      </c>
      <c r="V128" s="61">
        <f t="shared" si="82"/>
        <v>45599</v>
      </c>
      <c r="W128" s="124">
        <f t="shared" ref="W128" si="147">WEEKDAY(V128)</f>
        <v>1</v>
      </c>
      <c r="AD128" s="61">
        <f t="shared" si="87"/>
        <v>45599</v>
      </c>
      <c r="AE128">
        <f t="shared" si="76"/>
        <v>142</v>
      </c>
      <c r="AF128">
        <f t="shared" si="77"/>
        <v>142</v>
      </c>
      <c r="AG128">
        <f t="shared" si="78"/>
        <v>134</v>
      </c>
      <c r="AH128">
        <f t="shared" si="79"/>
        <v>134</v>
      </c>
      <c r="AI128">
        <f t="shared" si="80"/>
        <v>134</v>
      </c>
      <c r="AJ128"/>
    </row>
    <row r="129" spans="15:36" x14ac:dyDescent="0.25">
      <c r="O129" s="61">
        <f t="shared" si="85"/>
        <v>45600</v>
      </c>
      <c r="P129" s="124">
        <f t="shared" si="81"/>
        <v>2</v>
      </c>
      <c r="Q129" s="180">
        <f t="shared" si="113"/>
        <v>1</v>
      </c>
      <c r="R129" s="180">
        <f t="shared" si="113"/>
        <v>1</v>
      </c>
      <c r="S129" s="180">
        <f t="shared" si="113"/>
        <v>1</v>
      </c>
      <c r="T129" s="180">
        <f t="shared" si="113"/>
        <v>1</v>
      </c>
      <c r="U129" s="180">
        <f t="shared" si="113"/>
        <v>1</v>
      </c>
      <c r="V129" s="61">
        <f t="shared" si="82"/>
        <v>45600</v>
      </c>
      <c r="W129" s="124">
        <f t="shared" ref="W129" si="148">WEEKDAY(V129)</f>
        <v>2</v>
      </c>
      <c r="AC129" t="s">
        <v>198</v>
      </c>
      <c r="AD129" s="61">
        <f t="shared" si="87"/>
        <v>45600</v>
      </c>
      <c r="AE129">
        <f t="shared" si="76"/>
        <v>141</v>
      </c>
      <c r="AF129">
        <f t="shared" si="77"/>
        <v>141</v>
      </c>
      <c r="AG129">
        <f t="shared" si="78"/>
        <v>133</v>
      </c>
      <c r="AH129">
        <f t="shared" si="79"/>
        <v>133</v>
      </c>
      <c r="AI129">
        <f t="shared" si="80"/>
        <v>133</v>
      </c>
      <c r="AJ129"/>
    </row>
    <row r="130" spans="15:36" x14ac:dyDescent="0.25">
      <c r="O130" s="61">
        <f t="shared" si="85"/>
        <v>45601</v>
      </c>
      <c r="P130" s="124">
        <f t="shared" si="81"/>
        <v>3</v>
      </c>
      <c r="Q130" s="180">
        <f t="shared" si="113"/>
        <v>1</v>
      </c>
      <c r="R130" s="180">
        <f t="shared" si="113"/>
        <v>1</v>
      </c>
      <c r="S130" s="180">
        <f t="shared" si="113"/>
        <v>1</v>
      </c>
      <c r="T130" s="180">
        <f t="shared" si="113"/>
        <v>1</v>
      </c>
      <c r="U130" s="180">
        <f t="shared" si="113"/>
        <v>1</v>
      </c>
      <c r="V130" s="61">
        <f t="shared" si="82"/>
        <v>45601</v>
      </c>
      <c r="W130" s="124">
        <f t="shared" ref="W130" si="149">WEEKDAY(V130)</f>
        <v>3</v>
      </c>
      <c r="AC130" t="s">
        <v>200</v>
      </c>
      <c r="AD130" s="61">
        <f t="shared" si="87"/>
        <v>45601</v>
      </c>
      <c r="AE130">
        <f t="shared" si="76"/>
        <v>140</v>
      </c>
      <c r="AF130">
        <f t="shared" si="77"/>
        <v>140</v>
      </c>
      <c r="AG130">
        <f t="shared" si="78"/>
        <v>132</v>
      </c>
      <c r="AH130">
        <f t="shared" si="79"/>
        <v>132</v>
      </c>
      <c r="AI130">
        <f t="shared" si="80"/>
        <v>132</v>
      </c>
      <c r="AJ130"/>
    </row>
    <row r="131" spans="15:36" x14ac:dyDescent="0.25">
      <c r="O131" s="61">
        <f t="shared" si="85"/>
        <v>45602</v>
      </c>
      <c r="P131" s="124">
        <f t="shared" si="81"/>
        <v>4</v>
      </c>
      <c r="Q131" s="180">
        <f t="shared" si="113"/>
        <v>1</v>
      </c>
      <c r="R131" s="180">
        <f t="shared" si="113"/>
        <v>1</v>
      </c>
      <c r="S131" s="180">
        <f t="shared" si="113"/>
        <v>1</v>
      </c>
      <c r="T131" s="180">
        <f t="shared" si="113"/>
        <v>1</v>
      </c>
      <c r="U131" s="180">
        <f t="shared" si="113"/>
        <v>1</v>
      </c>
      <c r="V131" s="61">
        <f t="shared" si="82"/>
        <v>45602</v>
      </c>
      <c r="W131" s="124">
        <f t="shared" ref="W131" si="150">WEEKDAY(V131)</f>
        <v>4</v>
      </c>
      <c r="AC131" t="s">
        <v>199</v>
      </c>
      <c r="AD131" s="61">
        <f t="shared" si="87"/>
        <v>45602</v>
      </c>
      <c r="AE131">
        <f t="shared" ref="AE131:AE194" si="151">AE130-(IF(Q131=1,1,0))</f>
        <v>139</v>
      </c>
      <c r="AF131">
        <f t="shared" ref="AF131:AF194" si="152">AF130-(IF(R131=1,1,0))</f>
        <v>139</v>
      </c>
      <c r="AG131">
        <f t="shared" ref="AG131:AG194" si="153">AG130-(IF(S131=1,1,0))</f>
        <v>131</v>
      </c>
      <c r="AH131">
        <f t="shared" ref="AH131:AH194" si="154">AH130-(IF(T131=1,1,0))</f>
        <v>131</v>
      </c>
      <c r="AI131">
        <f t="shared" ref="AI131:AI194" si="155">AI130-(IF(U131=1,1,0))</f>
        <v>131</v>
      </c>
      <c r="AJ131"/>
    </row>
    <row r="132" spans="15:36" x14ac:dyDescent="0.25">
      <c r="O132" s="61">
        <f t="shared" si="85"/>
        <v>45603</v>
      </c>
      <c r="P132" s="124">
        <f t="shared" ref="P132:P195" si="156">WEEKDAY(O132)</f>
        <v>5</v>
      </c>
      <c r="Q132" s="180">
        <f t="shared" si="113"/>
        <v>1</v>
      </c>
      <c r="R132" s="180">
        <f t="shared" si="113"/>
        <v>1</v>
      </c>
      <c r="S132" s="180">
        <f t="shared" si="113"/>
        <v>1</v>
      </c>
      <c r="T132" s="180">
        <f t="shared" si="113"/>
        <v>1</v>
      </c>
      <c r="U132" s="180">
        <f t="shared" si="113"/>
        <v>1</v>
      </c>
      <c r="V132" s="61">
        <f t="shared" ref="V132:V195" si="157">V131+1</f>
        <v>45603</v>
      </c>
      <c r="W132" s="124">
        <f t="shared" ref="W132" si="158">WEEKDAY(V132)</f>
        <v>5</v>
      </c>
      <c r="AC132" t="s">
        <v>198</v>
      </c>
      <c r="AD132" s="61">
        <f t="shared" si="87"/>
        <v>45603</v>
      </c>
      <c r="AE132">
        <f t="shared" si="151"/>
        <v>138</v>
      </c>
      <c r="AF132">
        <f t="shared" si="152"/>
        <v>138</v>
      </c>
      <c r="AG132">
        <f t="shared" si="153"/>
        <v>130</v>
      </c>
      <c r="AH132">
        <f t="shared" si="154"/>
        <v>130</v>
      </c>
      <c r="AI132">
        <f t="shared" si="155"/>
        <v>130</v>
      </c>
      <c r="AJ132"/>
    </row>
    <row r="133" spans="15:36" x14ac:dyDescent="0.25">
      <c r="O133" s="61">
        <f t="shared" si="85"/>
        <v>45604</v>
      </c>
      <c r="P133" s="124">
        <f t="shared" si="156"/>
        <v>6</v>
      </c>
      <c r="Q133" s="180">
        <f t="shared" si="113"/>
        <v>1</v>
      </c>
      <c r="R133" s="180">
        <f t="shared" si="113"/>
        <v>1</v>
      </c>
      <c r="S133" s="180">
        <f t="shared" si="113"/>
        <v>1</v>
      </c>
      <c r="T133" s="180">
        <f t="shared" si="113"/>
        <v>1</v>
      </c>
      <c r="U133" s="180">
        <f t="shared" si="113"/>
        <v>1</v>
      </c>
      <c r="V133" s="61">
        <f t="shared" si="157"/>
        <v>45604</v>
      </c>
      <c r="W133" s="124">
        <f t="shared" ref="W133" si="159">WEEKDAY(V133)</f>
        <v>6</v>
      </c>
      <c r="X133" t="s">
        <v>480</v>
      </c>
      <c r="Y133" t="s">
        <v>480</v>
      </c>
      <c r="Z133" t="s">
        <v>480</v>
      </c>
      <c r="AA133" t="s">
        <v>480</v>
      </c>
      <c r="AB133" t="s">
        <v>480</v>
      </c>
      <c r="AD133" s="61">
        <f t="shared" si="87"/>
        <v>45604</v>
      </c>
      <c r="AE133">
        <f t="shared" si="151"/>
        <v>137</v>
      </c>
      <c r="AF133">
        <f t="shared" si="152"/>
        <v>137</v>
      </c>
      <c r="AG133">
        <f t="shared" si="153"/>
        <v>129</v>
      </c>
      <c r="AH133">
        <f t="shared" si="154"/>
        <v>129</v>
      </c>
      <c r="AI133">
        <f t="shared" si="155"/>
        <v>129</v>
      </c>
      <c r="AJ133"/>
    </row>
    <row r="134" spans="15:36" x14ac:dyDescent="0.25">
      <c r="O134" s="61">
        <f t="shared" ref="O134:O197" si="160">O133+1</f>
        <v>45605</v>
      </c>
      <c r="P134" s="124">
        <f t="shared" si="156"/>
        <v>7</v>
      </c>
      <c r="Q134" s="180" t="str">
        <f t="shared" si="113"/>
        <v/>
      </c>
      <c r="R134" s="180" t="str">
        <f t="shared" si="113"/>
        <v/>
      </c>
      <c r="S134" s="180" t="str">
        <f t="shared" si="113"/>
        <v/>
      </c>
      <c r="T134" s="180" t="str">
        <f t="shared" si="113"/>
        <v/>
      </c>
      <c r="U134" s="180" t="str">
        <f t="shared" si="113"/>
        <v/>
      </c>
      <c r="V134" s="61">
        <f t="shared" si="157"/>
        <v>45605</v>
      </c>
      <c r="W134" s="124">
        <f t="shared" ref="W134" si="161">WEEKDAY(V134)</f>
        <v>7</v>
      </c>
      <c r="AD134" s="61">
        <f t="shared" ref="AD134:AD197" si="162">AD133+1</f>
        <v>45605</v>
      </c>
      <c r="AE134">
        <f t="shared" si="151"/>
        <v>137</v>
      </c>
      <c r="AF134">
        <f t="shared" si="152"/>
        <v>137</v>
      </c>
      <c r="AG134">
        <f t="shared" si="153"/>
        <v>129</v>
      </c>
      <c r="AH134">
        <f t="shared" si="154"/>
        <v>129</v>
      </c>
      <c r="AI134">
        <f t="shared" si="155"/>
        <v>129</v>
      </c>
      <c r="AJ134"/>
    </row>
    <row r="135" spans="15:36" x14ac:dyDescent="0.25">
      <c r="O135" s="61">
        <f t="shared" si="160"/>
        <v>45606</v>
      </c>
      <c r="P135" s="124">
        <f t="shared" si="156"/>
        <v>1</v>
      </c>
      <c r="Q135" s="180" t="str">
        <f t="shared" si="113"/>
        <v/>
      </c>
      <c r="R135" s="180" t="str">
        <f t="shared" si="113"/>
        <v/>
      </c>
      <c r="S135" s="180" t="str">
        <f t="shared" si="113"/>
        <v/>
      </c>
      <c r="T135" s="180" t="str">
        <f t="shared" si="113"/>
        <v/>
      </c>
      <c r="U135" s="180" t="str">
        <f t="shared" si="113"/>
        <v/>
      </c>
      <c r="V135" s="61">
        <f t="shared" si="157"/>
        <v>45606</v>
      </c>
      <c r="W135" s="124">
        <f t="shared" ref="W135" si="163">WEEKDAY(V135)</f>
        <v>1</v>
      </c>
      <c r="AD135" s="61">
        <f t="shared" si="162"/>
        <v>45606</v>
      </c>
      <c r="AE135">
        <f t="shared" si="151"/>
        <v>137</v>
      </c>
      <c r="AF135">
        <f t="shared" si="152"/>
        <v>137</v>
      </c>
      <c r="AG135">
        <f t="shared" si="153"/>
        <v>129</v>
      </c>
      <c r="AH135">
        <f t="shared" si="154"/>
        <v>129</v>
      </c>
      <c r="AI135">
        <f t="shared" si="155"/>
        <v>129</v>
      </c>
      <c r="AJ135"/>
    </row>
    <row r="136" spans="15:36" x14ac:dyDescent="0.25">
      <c r="O136" s="61">
        <f t="shared" si="160"/>
        <v>45607</v>
      </c>
      <c r="P136" s="124">
        <f t="shared" si="156"/>
        <v>2</v>
      </c>
      <c r="Q136" s="180">
        <f t="shared" si="113"/>
        <v>1</v>
      </c>
      <c r="R136" s="180">
        <f t="shared" si="113"/>
        <v>1</v>
      </c>
      <c r="S136" s="180">
        <f t="shared" si="113"/>
        <v>1</v>
      </c>
      <c r="T136" s="180">
        <f t="shared" si="113"/>
        <v>1</v>
      </c>
      <c r="U136" s="180">
        <f t="shared" si="113"/>
        <v>1</v>
      </c>
      <c r="V136" s="61">
        <f t="shared" si="157"/>
        <v>45607</v>
      </c>
      <c r="W136" s="124">
        <f t="shared" ref="W136" si="164">WEEKDAY(V136)</f>
        <v>2</v>
      </c>
      <c r="AC136" t="s">
        <v>199</v>
      </c>
      <c r="AD136" s="61">
        <f t="shared" si="162"/>
        <v>45607</v>
      </c>
      <c r="AE136">
        <f t="shared" si="151"/>
        <v>136</v>
      </c>
      <c r="AF136">
        <f t="shared" si="152"/>
        <v>136</v>
      </c>
      <c r="AG136">
        <f t="shared" si="153"/>
        <v>128</v>
      </c>
      <c r="AH136">
        <f t="shared" si="154"/>
        <v>128</v>
      </c>
      <c r="AI136">
        <f t="shared" si="155"/>
        <v>128</v>
      </c>
      <c r="AJ136"/>
    </row>
    <row r="137" spans="15:36" x14ac:dyDescent="0.25">
      <c r="O137" s="61">
        <f t="shared" si="160"/>
        <v>45608</v>
      </c>
      <c r="P137" s="124">
        <f t="shared" si="156"/>
        <v>3</v>
      </c>
      <c r="Q137" s="180">
        <f t="shared" si="113"/>
        <v>1</v>
      </c>
      <c r="R137" s="180">
        <f t="shared" si="113"/>
        <v>1</v>
      </c>
      <c r="S137" s="180">
        <f t="shared" si="113"/>
        <v>1</v>
      </c>
      <c r="T137" s="180">
        <f t="shared" si="113"/>
        <v>1</v>
      </c>
      <c r="U137" s="180">
        <f t="shared" si="113"/>
        <v>1</v>
      </c>
      <c r="V137" s="61">
        <f t="shared" si="157"/>
        <v>45608</v>
      </c>
      <c r="W137" s="124">
        <f t="shared" ref="W137" si="165">WEEKDAY(V137)</f>
        <v>3</v>
      </c>
      <c r="AC137" t="s">
        <v>198</v>
      </c>
      <c r="AD137" s="61">
        <f t="shared" si="162"/>
        <v>45608</v>
      </c>
      <c r="AE137">
        <f t="shared" si="151"/>
        <v>135</v>
      </c>
      <c r="AF137">
        <f t="shared" si="152"/>
        <v>135</v>
      </c>
      <c r="AG137">
        <f t="shared" si="153"/>
        <v>127</v>
      </c>
      <c r="AH137">
        <f t="shared" si="154"/>
        <v>127</v>
      </c>
      <c r="AI137">
        <f t="shared" si="155"/>
        <v>127</v>
      </c>
      <c r="AJ137"/>
    </row>
    <row r="138" spans="15:36" x14ac:dyDescent="0.25">
      <c r="O138" s="61">
        <f t="shared" si="160"/>
        <v>45609</v>
      </c>
      <c r="P138" s="124">
        <f t="shared" si="156"/>
        <v>4</v>
      </c>
      <c r="Q138" s="180">
        <f t="shared" si="113"/>
        <v>1</v>
      </c>
      <c r="R138" s="180">
        <f t="shared" si="113"/>
        <v>1</v>
      </c>
      <c r="S138" s="180">
        <f t="shared" si="113"/>
        <v>1</v>
      </c>
      <c r="T138" s="180">
        <f t="shared" si="113"/>
        <v>1</v>
      </c>
      <c r="U138" s="180">
        <f t="shared" si="113"/>
        <v>1</v>
      </c>
      <c r="V138" s="61">
        <f t="shared" si="157"/>
        <v>45609</v>
      </c>
      <c r="W138" s="124">
        <f t="shared" ref="W138" si="166">WEEKDAY(V138)</f>
        <v>4</v>
      </c>
      <c r="AC138" t="s">
        <v>199</v>
      </c>
      <c r="AD138" s="61">
        <f t="shared" si="162"/>
        <v>45609</v>
      </c>
      <c r="AE138">
        <f t="shared" si="151"/>
        <v>134</v>
      </c>
      <c r="AF138">
        <f t="shared" si="152"/>
        <v>134</v>
      </c>
      <c r="AG138">
        <f t="shared" si="153"/>
        <v>126</v>
      </c>
      <c r="AH138">
        <f t="shared" si="154"/>
        <v>126</v>
      </c>
      <c r="AI138">
        <f t="shared" si="155"/>
        <v>126</v>
      </c>
      <c r="AJ138"/>
    </row>
    <row r="139" spans="15:36" x14ac:dyDescent="0.25">
      <c r="O139" s="61">
        <f t="shared" si="160"/>
        <v>45610</v>
      </c>
      <c r="P139" s="124">
        <f t="shared" si="156"/>
        <v>5</v>
      </c>
      <c r="Q139" s="180">
        <f t="shared" si="113"/>
        <v>1</v>
      </c>
      <c r="R139" s="180">
        <f t="shared" si="113"/>
        <v>1</v>
      </c>
      <c r="S139" s="180">
        <f t="shared" si="113"/>
        <v>1</v>
      </c>
      <c r="T139" s="180">
        <f t="shared" si="113"/>
        <v>1</v>
      </c>
      <c r="U139" s="180">
        <f t="shared" si="113"/>
        <v>1</v>
      </c>
      <c r="V139" s="61">
        <f t="shared" si="157"/>
        <v>45610</v>
      </c>
      <c r="W139" s="124">
        <f t="shared" ref="W139" si="167">WEEKDAY(V139)</f>
        <v>5</v>
      </c>
      <c r="AC139" t="s">
        <v>198</v>
      </c>
      <c r="AD139" s="61">
        <f t="shared" si="162"/>
        <v>45610</v>
      </c>
      <c r="AE139">
        <f t="shared" si="151"/>
        <v>133</v>
      </c>
      <c r="AF139">
        <f t="shared" si="152"/>
        <v>133</v>
      </c>
      <c r="AG139">
        <f t="shared" si="153"/>
        <v>125</v>
      </c>
      <c r="AH139">
        <f t="shared" si="154"/>
        <v>125</v>
      </c>
      <c r="AI139">
        <f t="shared" si="155"/>
        <v>125</v>
      </c>
      <c r="AJ139"/>
    </row>
    <row r="140" spans="15:36" x14ac:dyDescent="0.25">
      <c r="O140" s="61">
        <f t="shared" si="160"/>
        <v>45611</v>
      </c>
      <c r="P140" s="124">
        <f t="shared" si="156"/>
        <v>6</v>
      </c>
      <c r="Q140" s="180">
        <f t="shared" si="113"/>
        <v>1</v>
      </c>
      <c r="R140" s="180">
        <f t="shared" si="113"/>
        <v>1</v>
      </c>
      <c r="S140" s="180">
        <f t="shared" si="113"/>
        <v>1</v>
      </c>
      <c r="T140" s="180">
        <f t="shared" si="113"/>
        <v>1</v>
      </c>
      <c r="U140" s="180">
        <f t="shared" si="113"/>
        <v>1</v>
      </c>
      <c r="V140" s="61">
        <f t="shared" si="157"/>
        <v>45611</v>
      </c>
      <c r="W140" s="124">
        <f t="shared" ref="W140" si="168">WEEKDAY(V140)</f>
        <v>6</v>
      </c>
      <c r="AC140" t="s">
        <v>199</v>
      </c>
      <c r="AD140" s="61">
        <f t="shared" si="162"/>
        <v>45611</v>
      </c>
      <c r="AE140">
        <f t="shared" si="151"/>
        <v>132</v>
      </c>
      <c r="AF140">
        <f t="shared" si="152"/>
        <v>132</v>
      </c>
      <c r="AG140">
        <f t="shared" si="153"/>
        <v>124</v>
      </c>
      <c r="AH140">
        <f t="shared" si="154"/>
        <v>124</v>
      </c>
      <c r="AI140">
        <f t="shared" si="155"/>
        <v>124</v>
      </c>
      <c r="AJ140"/>
    </row>
    <row r="141" spans="15:36" x14ac:dyDescent="0.25">
      <c r="O141" s="61">
        <f t="shared" si="160"/>
        <v>45612</v>
      </c>
      <c r="P141" s="124">
        <f t="shared" si="156"/>
        <v>7</v>
      </c>
      <c r="Q141" s="180" t="str">
        <f t="shared" si="113"/>
        <v/>
      </c>
      <c r="R141" s="180" t="str">
        <f t="shared" si="113"/>
        <v/>
      </c>
      <c r="S141" s="180" t="str">
        <f t="shared" si="113"/>
        <v/>
      </c>
      <c r="T141" s="180" t="str">
        <f t="shared" si="113"/>
        <v/>
      </c>
      <c r="U141" s="180" t="str">
        <f t="shared" si="113"/>
        <v/>
      </c>
      <c r="V141" s="61">
        <f t="shared" si="157"/>
        <v>45612</v>
      </c>
      <c r="W141" s="124">
        <f t="shared" ref="W141" si="169">WEEKDAY(V141)</f>
        <v>7</v>
      </c>
      <c r="AD141" s="61">
        <f t="shared" si="162"/>
        <v>45612</v>
      </c>
      <c r="AE141">
        <f t="shared" si="151"/>
        <v>132</v>
      </c>
      <c r="AF141">
        <f t="shared" si="152"/>
        <v>132</v>
      </c>
      <c r="AG141">
        <f t="shared" si="153"/>
        <v>124</v>
      </c>
      <c r="AH141">
        <f t="shared" si="154"/>
        <v>124</v>
      </c>
      <c r="AI141">
        <f t="shared" si="155"/>
        <v>124</v>
      </c>
      <c r="AJ141"/>
    </row>
    <row r="142" spans="15:36" x14ac:dyDescent="0.25">
      <c r="O142" s="61">
        <f t="shared" si="160"/>
        <v>45613</v>
      </c>
      <c r="P142" s="124">
        <f t="shared" si="156"/>
        <v>1</v>
      </c>
      <c r="Q142" s="180" t="str">
        <f t="shared" si="113"/>
        <v/>
      </c>
      <c r="R142" s="180" t="str">
        <f t="shared" si="113"/>
        <v/>
      </c>
      <c r="S142" s="180" t="str">
        <f t="shared" si="113"/>
        <v/>
      </c>
      <c r="T142" s="180" t="str">
        <f t="shared" si="113"/>
        <v/>
      </c>
      <c r="U142" s="180" t="str">
        <f t="shared" si="113"/>
        <v/>
      </c>
      <c r="V142" s="61">
        <f t="shared" si="157"/>
        <v>45613</v>
      </c>
      <c r="W142" s="124">
        <f t="shared" ref="W142" si="170">WEEKDAY(V142)</f>
        <v>1</v>
      </c>
      <c r="AD142" s="61">
        <f t="shared" si="162"/>
        <v>45613</v>
      </c>
      <c r="AE142">
        <f t="shared" si="151"/>
        <v>132</v>
      </c>
      <c r="AF142">
        <f t="shared" si="152"/>
        <v>132</v>
      </c>
      <c r="AG142">
        <f t="shared" si="153"/>
        <v>124</v>
      </c>
      <c r="AH142">
        <f t="shared" si="154"/>
        <v>124</v>
      </c>
      <c r="AI142">
        <f t="shared" si="155"/>
        <v>124</v>
      </c>
      <c r="AJ142"/>
    </row>
    <row r="143" spans="15:36" x14ac:dyDescent="0.25">
      <c r="O143" s="61">
        <f t="shared" si="160"/>
        <v>45614</v>
      </c>
      <c r="P143" s="124">
        <f t="shared" si="156"/>
        <v>2</v>
      </c>
      <c r="Q143" s="180">
        <f t="shared" si="113"/>
        <v>1</v>
      </c>
      <c r="R143" s="180">
        <f t="shared" si="113"/>
        <v>1</v>
      </c>
      <c r="S143" s="180">
        <f t="shared" si="113"/>
        <v>1</v>
      </c>
      <c r="T143" s="180">
        <f t="shared" si="113"/>
        <v>1</v>
      </c>
      <c r="U143" s="180">
        <f t="shared" si="113"/>
        <v>1</v>
      </c>
      <c r="V143" s="61">
        <f t="shared" si="157"/>
        <v>45614</v>
      </c>
      <c r="W143" s="124">
        <f t="shared" ref="W143" si="171">WEEKDAY(V143)</f>
        <v>2</v>
      </c>
      <c r="AC143" t="s">
        <v>198</v>
      </c>
      <c r="AD143" s="61">
        <f t="shared" si="162"/>
        <v>45614</v>
      </c>
      <c r="AE143">
        <f t="shared" si="151"/>
        <v>131</v>
      </c>
      <c r="AF143">
        <f t="shared" si="152"/>
        <v>131</v>
      </c>
      <c r="AG143">
        <f t="shared" si="153"/>
        <v>123</v>
      </c>
      <c r="AH143">
        <f t="shared" si="154"/>
        <v>123</v>
      </c>
      <c r="AI143">
        <f t="shared" si="155"/>
        <v>123</v>
      </c>
      <c r="AJ143"/>
    </row>
    <row r="144" spans="15:36" x14ac:dyDescent="0.25">
      <c r="O144" s="61">
        <f t="shared" si="160"/>
        <v>45615</v>
      </c>
      <c r="P144" s="124">
        <f t="shared" si="156"/>
        <v>3</v>
      </c>
      <c r="Q144" s="180">
        <f t="shared" si="113"/>
        <v>1</v>
      </c>
      <c r="R144" s="180">
        <f t="shared" si="113"/>
        <v>1</v>
      </c>
      <c r="S144" s="180">
        <f t="shared" si="113"/>
        <v>1</v>
      </c>
      <c r="T144" s="180">
        <f t="shared" si="113"/>
        <v>1</v>
      </c>
      <c r="U144" s="180">
        <f t="shared" si="113"/>
        <v>1</v>
      </c>
      <c r="V144" s="61">
        <f t="shared" si="157"/>
        <v>45615</v>
      </c>
      <c r="W144" s="124">
        <f t="shared" ref="W144" si="172">WEEKDAY(V144)</f>
        <v>3</v>
      </c>
      <c r="AC144" t="s">
        <v>199</v>
      </c>
      <c r="AD144" s="61">
        <f t="shared" si="162"/>
        <v>45615</v>
      </c>
      <c r="AE144">
        <f t="shared" si="151"/>
        <v>130</v>
      </c>
      <c r="AF144">
        <f t="shared" si="152"/>
        <v>130</v>
      </c>
      <c r="AG144">
        <f t="shared" si="153"/>
        <v>122</v>
      </c>
      <c r="AH144">
        <f t="shared" si="154"/>
        <v>122</v>
      </c>
      <c r="AI144">
        <f t="shared" si="155"/>
        <v>122</v>
      </c>
      <c r="AJ144"/>
    </row>
    <row r="145" spans="15:36" x14ac:dyDescent="0.25">
      <c r="O145" s="61">
        <f t="shared" si="160"/>
        <v>45616</v>
      </c>
      <c r="P145" s="124">
        <f t="shared" si="156"/>
        <v>4</v>
      </c>
      <c r="Q145" s="180">
        <f t="shared" si="113"/>
        <v>1</v>
      </c>
      <c r="R145" s="180">
        <f t="shared" si="113"/>
        <v>1</v>
      </c>
      <c r="S145" s="180">
        <f t="shared" si="113"/>
        <v>1</v>
      </c>
      <c r="T145" s="180">
        <f t="shared" si="113"/>
        <v>1</v>
      </c>
      <c r="U145" s="180">
        <f t="shared" si="113"/>
        <v>1</v>
      </c>
      <c r="V145" s="61">
        <f t="shared" si="157"/>
        <v>45616</v>
      </c>
      <c r="W145" s="124">
        <f t="shared" ref="W145" si="173">WEEKDAY(V145)</f>
        <v>4</v>
      </c>
      <c r="AC145" t="s">
        <v>198</v>
      </c>
      <c r="AD145" s="61">
        <f t="shared" si="162"/>
        <v>45616</v>
      </c>
      <c r="AE145">
        <f t="shared" si="151"/>
        <v>129</v>
      </c>
      <c r="AF145">
        <f t="shared" si="152"/>
        <v>129</v>
      </c>
      <c r="AG145">
        <f t="shared" si="153"/>
        <v>121</v>
      </c>
      <c r="AH145">
        <f t="shared" si="154"/>
        <v>121</v>
      </c>
      <c r="AI145">
        <f t="shared" si="155"/>
        <v>121</v>
      </c>
      <c r="AJ145"/>
    </row>
    <row r="146" spans="15:36" x14ac:dyDescent="0.25">
      <c r="O146" s="61">
        <f t="shared" si="160"/>
        <v>45617</v>
      </c>
      <c r="P146" s="124">
        <f t="shared" si="156"/>
        <v>5</v>
      </c>
      <c r="Q146" s="180">
        <f t="shared" si="113"/>
        <v>1</v>
      </c>
      <c r="R146" s="180">
        <f t="shared" si="113"/>
        <v>1</v>
      </c>
      <c r="S146" s="180">
        <f t="shared" si="113"/>
        <v>1</v>
      </c>
      <c r="T146" s="180">
        <f t="shared" si="113"/>
        <v>1</v>
      </c>
      <c r="U146" s="180">
        <f t="shared" si="113"/>
        <v>1</v>
      </c>
      <c r="V146" s="61">
        <f t="shared" si="157"/>
        <v>45617</v>
      </c>
      <c r="W146" s="124">
        <f t="shared" ref="W146" si="174">WEEKDAY(V146)</f>
        <v>5</v>
      </c>
      <c r="AC146" t="s">
        <v>199</v>
      </c>
      <c r="AD146" s="61">
        <f t="shared" si="162"/>
        <v>45617</v>
      </c>
      <c r="AE146">
        <f t="shared" si="151"/>
        <v>128</v>
      </c>
      <c r="AF146">
        <f t="shared" si="152"/>
        <v>128</v>
      </c>
      <c r="AG146">
        <f t="shared" si="153"/>
        <v>120</v>
      </c>
      <c r="AH146">
        <f t="shared" si="154"/>
        <v>120</v>
      </c>
      <c r="AI146">
        <f t="shared" si="155"/>
        <v>120</v>
      </c>
      <c r="AJ146"/>
    </row>
    <row r="147" spans="15:36" x14ac:dyDescent="0.25">
      <c r="O147" s="61">
        <f t="shared" si="160"/>
        <v>45618</v>
      </c>
      <c r="P147" s="124">
        <f t="shared" si="156"/>
        <v>6</v>
      </c>
      <c r="Q147" s="180">
        <v>1</v>
      </c>
      <c r="R147" s="180">
        <v>1</v>
      </c>
      <c r="S147" s="180">
        <v>1</v>
      </c>
      <c r="T147" s="180">
        <v>1</v>
      </c>
      <c r="U147" s="180">
        <v>1</v>
      </c>
      <c r="V147" s="61">
        <f t="shared" si="157"/>
        <v>45618</v>
      </c>
      <c r="W147" s="124">
        <f t="shared" ref="W147" si="175">WEEKDAY(V147)</f>
        <v>6</v>
      </c>
      <c r="AC147" t="s">
        <v>198</v>
      </c>
      <c r="AD147" s="61">
        <f t="shared" si="162"/>
        <v>45618</v>
      </c>
      <c r="AE147">
        <f t="shared" si="151"/>
        <v>127</v>
      </c>
      <c r="AF147">
        <f t="shared" si="152"/>
        <v>127</v>
      </c>
      <c r="AG147">
        <f t="shared" si="153"/>
        <v>119</v>
      </c>
      <c r="AH147">
        <f t="shared" si="154"/>
        <v>119</v>
      </c>
      <c r="AI147">
        <f t="shared" si="155"/>
        <v>119</v>
      </c>
      <c r="AJ147"/>
    </row>
    <row r="148" spans="15:36" x14ac:dyDescent="0.25">
      <c r="O148" s="61">
        <f t="shared" si="160"/>
        <v>45619</v>
      </c>
      <c r="P148" s="124">
        <f t="shared" si="156"/>
        <v>7</v>
      </c>
      <c r="R148" s="180"/>
      <c r="S148" s="180"/>
      <c r="T148" s="180"/>
      <c r="U148" s="180"/>
      <c r="V148" s="61">
        <f t="shared" si="157"/>
        <v>45619</v>
      </c>
      <c r="W148" s="124">
        <f t="shared" ref="W148" si="176">WEEKDAY(V148)</f>
        <v>7</v>
      </c>
      <c r="AD148" s="61">
        <f t="shared" si="162"/>
        <v>45619</v>
      </c>
      <c r="AE148">
        <f t="shared" si="151"/>
        <v>127</v>
      </c>
      <c r="AF148">
        <f t="shared" si="152"/>
        <v>127</v>
      </c>
      <c r="AG148">
        <f t="shared" si="153"/>
        <v>119</v>
      </c>
      <c r="AH148">
        <f t="shared" si="154"/>
        <v>119</v>
      </c>
      <c r="AI148">
        <f t="shared" si="155"/>
        <v>119</v>
      </c>
      <c r="AJ148"/>
    </row>
    <row r="149" spans="15:36" x14ac:dyDescent="0.25">
      <c r="O149" s="61">
        <f t="shared" si="160"/>
        <v>45620</v>
      </c>
      <c r="P149" s="124">
        <f t="shared" si="156"/>
        <v>1</v>
      </c>
      <c r="R149" s="180"/>
      <c r="S149" s="180"/>
      <c r="T149" s="180"/>
      <c r="U149" s="180"/>
      <c r="V149" s="61">
        <f t="shared" si="157"/>
        <v>45620</v>
      </c>
      <c r="W149" s="124">
        <f t="shared" ref="W149" si="177">WEEKDAY(V149)</f>
        <v>1</v>
      </c>
      <c r="AD149" s="61">
        <f t="shared" si="162"/>
        <v>45620</v>
      </c>
      <c r="AE149">
        <f t="shared" si="151"/>
        <v>127</v>
      </c>
      <c r="AF149">
        <f t="shared" si="152"/>
        <v>127</v>
      </c>
      <c r="AG149">
        <f t="shared" si="153"/>
        <v>119</v>
      </c>
      <c r="AH149">
        <f t="shared" si="154"/>
        <v>119</v>
      </c>
      <c r="AI149">
        <f t="shared" si="155"/>
        <v>119</v>
      </c>
      <c r="AJ149"/>
    </row>
    <row r="150" spans="15:36" x14ac:dyDescent="0.25">
      <c r="O150" s="61">
        <f t="shared" si="160"/>
        <v>45621</v>
      </c>
      <c r="P150" s="124">
        <f t="shared" si="156"/>
        <v>2</v>
      </c>
      <c r="Q150" s="180">
        <f t="shared" ref="Q150:U150" si="178">IF(OR($P150=2,$P150=3,$P150=4,$P150=5,$P150=6),1,"")</f>
        <v>1</v>
      </c>
      <c r="R150" s="180">
        <f t="shared" si="178"/>
        <v>1</v>
      </c>
      <c r="S150" s="180">
        <f t="shared" si="178"/>
        <v>1</v>
      </c>
      <c r="T150" s="180">
        <f t="shared" si="178"/>
        <v>1</v>
      </c>
      <c r="U150" s="180">
        <f t="shared" si="178"/>
        <v>1</v>
      </c>
      <c r="V150" s="61">
        <f t="shared" si="157"/>
        <v>45621</v>
      </c>
      <c r="W150" s="124">
        <f t="shared" ref="W150" si="179">WEEKDAY(V150)</f>
        <v>2</v>
      </c>
      <c r="AC150" t="s">
        <v>199</v>
      </c>
      <c r="AD150" s="61">
        <f t="shared" si="162"/>
        <v>45621</v>
      </c>
      <c r="AE150">
        <f t="shared" si="151"/>
        <v>126</v>
      </c>
      <c r="AF150">
        <f t="shared" si="152"/>
        <v>126</v>
      </c>
      <c r="AG150">
        <f t="shared" si="153"/>
        <v>118</v>
      </c>
      <c r="AH150">
        <f t="shared" si="154"/>
        <v>118</v>
      </c>
      <c r="AI150">
        <f t="shared" si="155"/>
        <v>118</v>
      </c>
      <c r="AJ150"/>
    </row>
    <row r="151" spans="15:36" x14ac:dyDescent="0.25">
      <c r="O151" s="61">
        <f t="shared" si="160"/>
        <v>45622</v>
      </c>
      <c r="P151" s="124">
        <f t="shared" si="156"/>
        <v>3</v>
      </c>
      <c r="Q151" s="180">
        <f t="shared" si="113"/>
        <v>1</v>
      </c>
      <c r="R151" s="180">
        <f t="shared" si="113"/>
        <v>1</v>
      </c>
      <c r="S151" s="180">
        <f t="shared" si="113"/>
        <v>1</v>
      </c>
      <c r="T151" s="180">
        <f t="shared" si="113"/>
        <v>1</v>
      </c>
      <c r="U151" s="180">
        <f t="shared" si="113"/>
        <v>1</v>
      </c>
      <c r="V151" s="61">
        <f t="shared" si="157"/>
        <v>45622</v>
      </c>
      <c r="W151" s="124">
        <f t="shared" ref="W151" si="180">WEEKDAY(V151)</f>
        <v>3</v>
      </c>
      <c r="AC151" t="s">
        <v>198</v>
      </c>
      <c r="AD151" s="61">
        <f t="shared" si="162"/>
        <v>45622</v>
      </c>
      <c r="AE151">
        <f t="shared" si="151"/>
        <v>125</v>
      </c>
      <c r="AF151">
        <f t="shared" si="152"/>
        <v>125</v>
      </c>
      <c r="AG151">
        <f t="shared" si="153"/>
        <v>117</v>
      </c>
      <c r="AH151">
        <f t="shared" si="154"/>
        <v>117</v>
      </c>
      <c r="AI151">
        <f t="shared" si="155"/>
        <v>117</v>
      </c>
      <c r="AJ151"/>
    </row>
    <row r="152" spans="15:36" x14ac:dyDescent="0.25">
      <c r="O152" s="61">
        <f t="shared" si="160"/>
        <v>45623</v>
      </c>
      <c r="P152" s="124">
        <f t="shared" si="156"/>
        <v>4</v>
      </c>
      <c r="Q152" s="180" t="s">
        <v>177</v>
      </c>
      <c r="R152" s="180" t="s">
        <v>177</v>
      </c>
      <c r="S152" s="180" t="s">
        <v>177</v>
      </c>
      <c r="T152" s="180" t="s">
        <v>177</v>
      </c>
      <c r="U152" s="180" t="s">
        <v>177</v>
      </c>
      <c r="V152" s="61">
        <f t="shared" si="157"/>
        <v>45623</v>
      </c>
      <c r="W152" s="124">
        <f t="shared" ref="W152" si="181">WEEKDAY(V152)</f>
        <v>4</v>
      </c>
      <c r="AD152" s="61">
        <f t="shared" si="162"/>
        <v>45623</v>
      </c>
      <c r="AE152">
        <f t="shared" si="151"/>
        <v>125</v>
      </c>
      <c r="AF152">
        <f t="shared" si="152"/>
        <v>125</v>
      </c>
      <c r="AG152">
        <f t="shared" si="153"/>
        <v>117</v>
      </c>
      <c r="AH152">
        <f t="shared" si="154"/>
        <v>117</v>
      </c>
      <c r="AI152">
        <f t="shared" si="155"/>
        <v>117</v>
      </c>
      <c r="AJ152"/>
    </row>
    <row r="153" spans="15:36" x14ac:dyDescent="0.25">
      <c r="O153" s="61">
        <f t="shared" si="160"/>
        <v>45624</v>
      </c>
      <c r="P153" s="124">
        <f t="shared" si="156"/>
        <v>5</v>
      </c>
      <c r="Q153" s="180" t="s">
        <v>177</v>
      </c>
      <c r="R153" s="180" t="s">
        <v>177</v>
      </c>
      <c r="S153" s="180" t="s">
        <v>177</v>
      </c>
      <c r="T153" s="180" t="s">
        <v>177</v>
      </c>
      <c r="U153" s="180" t="s">
        <v>177</v>
      </c>
      <c r="V153" s="61">
        <f t="shared" si="157"/>
        <v>45624</v>
      </c>
      <c r="W153" s="124">
        <f t="shared" ref="W153" si="182">WEEKDAY(V153)</f>
        <v>5</v>
      </c>
      <c r="AD153" s="61">
        <f t="shared" si="162"/>
        <v>45624</v>
      </c>
      <c r="AE153">
        <f t="shared" si="151"/>
        <v>125</v>
      </c>
      <c r="AF153">
        <f t="shared" si="152"/>
        <v>125</v>
      </c>
      <c r="AG153">
        <f t="shared" si="153"/>
        <v>117</v>
      </c>
      <c r="AH153">
        <f t="shared" si="154"/>
        <v>117</v>
      </c>
      <c r="AI153">
        <f t="shared" si="155"/>
        <v>117</v>
      </c>
      <c r="AJ153"/>
    </row>
    <row r="154" spans="15:36" x14ac:dyDescent="0.25">
      <c r="O154" s="61">
        <f t="shared" si="160"/>
        <v>45625</v>
      </c>
      <c r="P154" s="124">
        <f t="shared" si="156"/>
        <v>6</v>
      </c>
      <c r="Q154" s="180" t="s">
        <v>177</v>
      </c>
      <c r="R154" s="180" t="s">
        <v>177</v>
      </c>
      <c r="S154" s="180" t="s">
        <v>177</v>
      </c>
      <c r="T154" s="180" t="s">
        <v>177</v>
      </c>
      <c r="U154" s="180" t="s">
        <v>177</v>
      </c>
      <c r="V154" s="61">
        <f t="shared" si="157"/>
        <v>45625</v>
      </c>
      <c r="W154" s="124">
        <f t="shared" ref="W154" si="183">WEEKDAY(V154)</f>
        <v>6</v>
      </c>
      <c r="AD154" s="61">
        <f t="shared" si="162"/>
        <v>45625</v>
      </c>
      <c r="AE154">
        <f t="shared" si="151"/>
        <v>125</v>
      </c>
      <c r="AF154">
        <f t="shared" si="152"/>
        <v>125</v>
      </c>
      <c r="AG154">
        <f t="shared" si="153"/>
        <v>117</v>
      </c>
      <c r="AH154">
        <f t="shared" si="154"/>
        <v>117</v>
      </c>
      <c r="AI154">
        <f t="shared" si="155"/>
        <v>117</v>
      </c>
      <c r="AJ154"/>
    </row>
    <row r="155" spans="15:36" x14ac:dyDescent="0.25">
      <c r="O155" s="61">
        <f t="shared" si="160"/>
        <v>45626</v>
      </c>
      <c r="P155" s="124">
        <f t="shared" si="156"/>
        <v>7</v>
      </c>
      <c r="Q155" s="180" t="str">
        <f t="shared" si="113"/>
        <v/>
      </c>
      <c r="R155" s="180" t="str">
        <f t="shared" si="113"/>
        <v/>
      </c>
      <c r="S155" s="180" t="str">
        <f t="shared" si="113"/>
        <v/>
      </c>
      <c r="T155" s="180" t="str">
        <f t="shared" si="113"/>
        <v/>
      </c>
      <c r="U155" s="180" t="str">
        <f t="shared" si="113"/>
        <v/>
      </c>
      <c r="V155" s="61">
        <f t="shared" si="157"/>
        <v>45626</v>
      </c>
      <c r="W155" s="124">
        <f t="shared" ref="W155" si="184">WEEKDAY(V155)</f>
        <v>7</v>
      </c>
      <c r="AD155" s="61">
        <f t="shared" si="162"/>
        <v>45626</v>
      </c>
      <c r="AE155">
        <f t="shared" si="151"/>
        <v>125</v>
      </c>
      <c r="AF155">
        <f t="shared" si="152"/>
        <v>125</v>
      </c>
      <c r="AG155">
        <f t="shared" si="153"/>
        <v>117</v>
      </c>
      <c r="AH155">
        <f t="shared" si="154"/>
        <v>117</v>
      </c>
      <c r="AI155">
        <f t="shared" si="155"/>
        <v>117</v>
      </c>
      <c r="AJ155"/>
    </row>
    <row r="156" spans="15:36" x14ac:dyDescent="0.25">
      <c r="O156" s="61">
        <f t="shared" si="160"/>
        <v>45627</v>
      </c>
      <c r="P156" s="124">
        <f t="shared" si="156"/>
        <v>1</v>
      </c>
      <c r="Q156" s="180" t="str">
        <f t="shared" si="113"/>
        <v/>
      </c>
      <c r="R156" s="180" t="str">
        <f t="shared" si="113"/>
        <v/>
      </c>
      <c r="S156" s="180" t="str">
        <f t="shared" si="113"/>
        <v/>
      </c>
      <c r="T156" s="180" t="str">
        <f t="shared" si="113"/>
        <v/>
      </c>
      <c r="U156" s="180" t="str">
        <f t="shared" si="113"/>
        <v/>
      </c>
      <c r="V156" s="61">
        <f t="shared" si="157"/>
        <v>45627</v>
      </c>
      <c r="W156" s="124">
        <f t="shared" ref="W156" si="185">WEEKDAY(V156)</f>
        <v>1</v>
      </c>
      <c r="AD156" s="61">
        <f t="shared" si="162"/>
        <v>45627</v>
      </c>
      <c r="AE156">
        <f t="shared" si="151"/>
        <v>125</v>
      </c>
      <c r="AF156">
        <f t="shared" si="152"/>
        <v>125</v>
      </c>
      <c r="AG156">
        <f t="shared" si="153"/>
        <v>117</v>
      </c>
      <c r="AH156">
        <f t="shared" si="154"/>
        <v>117</v>
      </c>
      <c r="AI156">
        <f t="shared" si="155"/>
        <v>117</v>
      </c>
      <c r="AJ156"/>
    </row>
    <row r="157" spans="15:36" x14ac:dyDescent="0.25">
      <c r="O157" s="61">
        <f t="shared" si="160"/>
        <v>45628</v>
      </c>
      <c r="P157" s="124">
        <f t="shared" si="156"/>
        <v>2</v>
      </c>
      <c r="Q157" s="180">
        <f t="shared" si="113"/>
        <v>1</v>
      </c>
      <c r="R157" s="180">
        <f t="shared" si="113"/>
        <v>1</v>
      </c>
      <c r="S157" s="180">
        <f t="shared" si="113"/>
        <v>1</v>
      </c>
      <c r="T157" s="180">
        <f t="shared" si="113"/>
        <v>1</v>
      </c>
      <c r="U157" s="180">
        <f t="shared" si="113"/>
        <v>1</v>
      </c>
      <c r="V157" s="61">
        <f t="shared" si="157"/>
        <v>45628</v>
      </c>
      <c r="W157" s="124">
        <f t="shared" ref="W157" si="186">WEEKDAY(V157)</f>
        <v>2</v>
      </c>
      <c r="AC157" t="s">
        <v>199</v>
      </c>
      <c r="AD157" s="61">
        <f t="shared" si="162"/>
        <v>45628</v>
      </c>
      <c r="AE157">
        <f t="shared" si="151"/>
        <v>124</v>
      </c>
      <c r="AF157">
        <f t="shared" si="152"/>
        <v>124</v>
      </c>
      <c r="AG157">
        <f t="shared" si="153"/>
        <v>116</v>
      </c>
      <c r="AH157">
        <f t="shared" si="154"/>
        <v>116</v>
      </c>
      <c r="AI157">
        <f t="shared" si="155"/>
        <v>116</v>
      </c>
      <c r="AJ157"/>
    </row>
    <row r="158" spans="15:36" x14ac:dyDescent="0.25">
      <c r="O158" s="61">
        <f t="shared" si="160"/>
        <v>45629</v>
      </c>
      <c r="P158" s="124">
        <f t="shared" si="156"/>
        <v>3</v>
      </c>
      <c r="Q158" s="180">
        <f t="shared" si="113"/>
        <v>1</v>
      </c>
      <c r="R158" s="180">
        <f t="shared" si="113"/>
        <v>1</v>
      </c>
      <c r="S158" s="180">
        <f t="shared" si="113"/>
        <v>1</v>
      </c>
      <c r="T158" s="180">
        <f t="shared" si="113"/>
        <v>1</v>
      </c>
      <c r="U158" s="180">
        <f t="shared" si="113"/>
        <v>1</v>
      </c>
      <c r="V158" s="61">
        <f t="shared" si="157"/>
        <v>45629</v>
      </c>
      <c r="W158" s="124">
        <f t="shared" ref="W158" si="187">WEEKDAY(V158)</f>
        <v>3</v>
      </c>
      <c r="AC158" t="s">
        <v>198</v>
      </c>
      <c r="AD158" s="61">
        <f t="shared" si="162"/>
        <v>45629</v>
      </c>
      <c r="AE158">
        <f t="shared" si="151"/>
        <v>123</v>
      </c>
      <c r="AF158">
        <f t="shared" si="152"/>
        <v>123</v>
      </c>
      <c r="AG158">
        <f t="shared" si="153"/>
        <v>115</v>
      </c>
      <c r="AH158">
        <f t="shared" si="154"/>
        <v>115</v>
      </c>
      <c r="AI158">
        <f t="shared" si="155"/>
        <v>115</v>
      </c>
      <c r="AJ158"/>
    </row>
    <row r="159" spans="15:36" x14ac:dyDescent="0.25">
      <c r="O159" s="61">
        <f t="shared" si="160"/>
        <v>45630</v>
      </c>
      <c r="P159" s="124">
        <f t="shared" si="156"/>
        <v>4</v>
      </c>
      <c r="Q159" s="180">
        <f t="shared" si="113"/>
        <v>1</v>
      </c>
      <c r="R159" s="180">
        <f t="shared" si="113"/>
        <v>1</v>
      </c>
      <c r="S159" s="180">
        <f t="shared" si="113"/>
        <v>1</v>
      </c>
      <c r="T159" s="180">
        <f t="shared" si="113"/>
        <v>1</v>
      </c>
      <c r="U159" s="180">
        <f t="shared" si="113"/>
        <v>1</v>
      </c>
      <c r="V159" s="61">
        <f t="shared" si="157"/>
        <v>45630</v>
      </c>
      <c r="W159" s="124">
        <f t="shared" ref="W159" si="188">WEEKDAY(V159)</f>
        <v>4</v>
      </c>
      <c r="AC159" t="s">
        <v>199</v>
      </c>
      <c r="AD159" s="61">
        <f t="shared" si="162"/>
        <v>45630</v>
      </c>
      <c r="AE159">
        <f t="shared" si="151"/>
        <v>122</v>
      </c>
      <c r="AF159">
        <f t="shared" si="152"/>
        <v>122</v>
      </c>
      <c r="AG159">
        <f t="shared" si="153"/>
        <v>114</v>
      </c>
      <c r="AH159">
        <f t="shared" si="154"/>
        <v>114</v>
      </c>
      <c r="AI159">
        <f t="shared" si="155"/>
        <v>114</v>
      </c>
      <c r="AJ159"/>
    </row>
    <row r="160" spans="15:36" x14ac:dyDescent="0.25">
      <c r="O160" s="61">
        <f t="shared" si="160"/>
        <v>45631</v>
      </c>
      <c r="P160" s="124">
        <f t="shared" si="156"/>
        <v>5</v>
      </c>
      <c r="Q160" s="180">
        <f t="shared" ref="Q160:U176" si="189">IF(OR($P160=2,$P160=3,$P160=4,$P160=5,$P160=6),1,"")</f>
        <v>1</v>
      </c>
      <c r="R160" s="180">
        <f t="shared" si="189"/>
        <v>1</v>
      </c>
      <c r="S160" s="180">
        <f t="shared" si="189"/>
        <v>1</v>
      </c>
      <c r="T160" s="180">
        <f t="shared" si="189"/>
        <v>1</v>
      </c>
      <c r="U160" s="180">
        <f t="shared" si="189"/>
        <v>1</v>
      </c>
      <c r="V160" s="61">
        <f t="shared" si="157"/>
        <v>45631</v>
      </c>
      <c r="W160" s="124">
        <f t="shared" ref="W160" si="190">WEEKDAY(V160)</f>
        <v>5</v>
      </c>
      <c r="AC160" t="s">
        <v>198</v>
      </c>
      <c r="AD160" s="61">
        <f t="shared" si="162"/>
        <v>45631</v>
      </c>
      <c r="AE160">
        <f t="shared" si="151"/>
        <v>121</v>
      </c>
      <c r="AF160">
        <f t="shared" si="152"/>
        <v>121</v>
      </c>
      <c r="AG160">
        <f t="shared" si="153"/>
        <v>113</v>
      </c>
      <c r="AH160">
        <f t="shared" si="154"/>
        <v>113</v>
      </c>
      <c r="AI160">
        <f t="shared" si="155"/>
        <v>113</v>
      </c>
      <c r="AJ160"/>
    </row>
    <row r="161" spans="15:36" x14ac:dyDescent="0.25">
      <c r="O161" s="61">
        <f t="shared" si="160"/>
        <v>45632</v>
      </c>
      <c r="P161" s="124">
        <f t="shared" si="156"/>
        <v>6</v>
      </c>
      <c r="Q161" s="180">
        <f t="shared" si="189"/>
        <v>1</v>
      </c>
      <c r="R161" s="180">
        <f t="shared" si="189"/>
        <v>1</v>
      </c>
      <c r="S161" s="180">
        <f t="shared" si="189"/>
        <v>1</v>
      </c>
      <c r="T161" s="180">
        <f t="shared" si="189"/>
        <v>1</v>
      </c>
      <c r="U161" s="180">
        <f t="shared" si="189"/>
        <v>1</v>
      </c>
      <c r="V161" s="61">
        <f t="shared" si="157"/>
        <v>45632</v>
      </c>
      <c r="W161" s="124">
        <f t="shared" ref="W161" si="191">WEEKDAY(V161)</f>
        <v>6</v>
      </c>
      <c r="AC161" t="s">
        <v>199</v>
      </c>
      <c r="AD161" s="61">
        <f t="shared" si="162"/>
        <v>45632</v>
      </c>
      <c r="AE161">
        <f t="shared" si="151"/>
        <v>120</v>
      </c>
      <c r="AF161">
        <f t="shared" si="152"/>
        <v>120</v>
      </c>
      <c r="AG161">
        <f t="shared" si="153"/>
        <v>112</v>
      </c>
      <c r="AH161">
        <f t="shared" si="154"/>
        <v>112</v>
      </c>
      <c r="AI161">
        <f t="shared" si="155"/>
        <v>112</v>
      </c>
      <c r="AJ161"/>
    </row>
    <row r="162" spans="15:36" x14ac:dyDescent="0.25">
      <c r="O162" s="61">
        <f t="shared" si="160"/>
        <v>45633</v>
      </c>
      <c r="P162" s="124">
        <f t="shared" si="156"/>
        <v>7</v>
      </c>
      <c r="Q162" s="180" t="str">
        <f t="shared" si="189"/>
        <v/>
      </c>
      <c r="R162" s="180" t="str">
        <f t="shared" si="189"/>
        <v/>
      </c>
      <c r="S162" s="180" t="str">
        <f t="shared" si="189"/>
        <v/>
      </c>
      <c r="T162" s="180" t="str">
        <f t="shared" si="189"/>
        <v/>
      </c>
      <c r="U162" s="180" t="str">
        <f t="shared" si="189"/>
        <v/>
      </c>
      <c r="V162" s="61">
        <f t="shared" si="157"/>
        <v>45633</v>
      </c>
      <c r="W162" s="124">
        <f t="shared" ref="W162" si="192">WEEKDAY(V162)</f>
        <v>7</v>
      </c>
      <c r="AD162" s="61">
        <f t="shared" si="162"/>
        <v>45633</v>
      </c>
      <c r="AE162">
        <f t="shared" si="151"/>
        <v>120</v>
      </c>
      <c r="AF162">
        <f t="shared" si="152"/>
        <v>120</v>
      </c>
      <c r="AG162">
        <f t="shared" si="153"/>
        <v>112</v>
      </c>
      <c r="AH162">
        <f t="shared" si="154"/>
        <v>112</v>
      </c>
      <c r="AI162">
        <f t="shared" si="155"/>
        <v>112</v>
      </c>
      <c r="AJ162"/>
    </row>
    <row r="163" spans="15:36" x14ac:dyDescent="0.25">
      <c r="O163" s="61">
        <f t="shared" si="160"/>
        <v>45634</v>
      </c>
      <c r="P163" s="124">
        <f t="shared" si="156"/>
        <v>1</v>
      </c>
      <c r="Q163" s="180" t="str">
        <f t="shared" si="189"/>
        <v/>
      </c>
      <c r="R163" s="180" t="str">
        <f t="shared" si="189"/>
        <v/>
      </c>
      <c r="S163" s="180" t="str">
        <f t="shared" si="189"/>
        <v/>
      </c>
      <c r="T163" s="180" t="str">
        <f t="shared" si="189"/>
        <v/>
      </c>
      <c r="U163" s="180" t="str">
        <f t="shared" si="189"/>
        <v/>
      </c>
      <c r="V163" s="61">
        <f t="shared" si="157"/>
        <v>45634</v>
      </c>
      <c r="W163" s="124">
        <f t="shared" ref="W163" si="193">WEEKDAY(V163)</f>
        <v>1</v>
      </c>
      <c r="AD163" s="61">
        <f t="shared" si="162"/>
        <v>45634</v>
      </c>
      <c r="AE163">
        <f t="shared" si="151"/>
        <v>120</v>
      </c>
      <c r="AF163">
        <f t="shared" si="152"/>
        <v>120</v>
      </c>
      <c r="AG163">
        <f t="shared" si="153"/>
        <v>112</v>
      </c>
      <c r="AH163">
        <f t="shared" si="154"/>
        <v>112</v>
      </c>
      <c r="AI163">
        <f t="shared" si="155"/>
        <v>112</v>
      </c>
      <c r="AJ163"/>
    </row>
    <row r="164" spans="15:36" x14ac:dyDescent="0.25">
      <c r="O164" s="61">
        <f t="shared" si="160"/>
        <v>45635</v>
      </c>
      <c r="P164" s="124">
        <f t="shared" si="156"/>
        <v>2</v>
      </c>
      <c r="Q164" s="180">
        <f t="shared" si="189"/>
        <v>1</v>
      </c>
      <c r="R164" s="180">
        <f t="shared" si="189"/>
        <v>1</v>
      </c>
      <c r="S164" s="180">
        <f t="shared" si="189"/>
        <v>1</v>
      </c>
      <c r="T164" s="180">
        <f t="shared" si="189"/>
        <v>1</v>
      </c>
      <c r="U164" s="180">
        <f t="shared" si="189"/>
        <v>1</v>
      </c>
      <c r="V164" s="61">
        <f t="shared" si="157"/>
        <v>45635</v>
      </c>
      <c r="W164" s="124">
        <f t="shared" ref="W164" si="194">WEEKDAY(V164)</f>
        <v>2</v>
      </c>
      <c r="AC164" t="s">
        <v>198</v>
      </c>
      <c r="AD164" s="61">
        <f t="shared" si="162"/>
        <v>45635</v>
      </c>
      <c r="AE164">
        <f t="shared" si="151"/>
        <v>119</v>
      </c>
      <c r="AF164">
        <f t="shared" si="152"/>
        <v>119</v>
      </c>
      <c r="AG164">
        <f t="shared" si="153"/>
        <v>111</v>
      </c>
      <c r="AH164">
        <f t="shared" si="154"/>
        <v>111</v>
      </c>
      <c r="AI164">
        <f t="shared" si="155"/>
        <v>111</v>
      </c>
      <c r="AJ164"/>
    </row>
    <row r="165" spans="15:36" x14ac:dyDescent="0.25">
      <c r="O165" s="61">
        <f t="shared" si="160"/>
        <v>45636</v>
      </c>
      <c r="P165" s="124">
        <f t="shared" si="156"/>
        <v>3</v>
      </c>
      <c r="Q165" s="180">
        <f t="shared" si="189"/>
        <v>1</v>
      </c>
      <c r="R165" s="180">
        <f t="shared" si="189"/>
        <v>1</v>
      </c>
      <c r="S165" s="180">
        <f t="shared" si="189"/>
        <v>1</v>
      </c>
      <c r="T165" s="180">
        <f t="shared" si="189"/>
        <v>1</v>
      </c>
      <c r="U165" s="180">
        <f t="shared" si="189"/>
        <v>1</v>
      </c>
      <c r="V165" s="61">
        <f t="shared" si="157"/>
        <v>45636</v>
      </c>
      <c r="W165" s="124">
        <f t="shared" ref="W165" si="195">WEEKDAY(V165)</f>
        <v>3</v>
      </c>
      <c r="AC165" t="s">
        <v>199</v>
      </c>
      <c r="AD165" s="61">
        <f t="shared" si="162"/>
        <v>45636</v>
      </c>
      <c r="AE165">
        <f t="shared" si="151"/>
        <v>118</v>
      </c>
      <c r="AF165">
        <f t="shared" si="152"/>
        <v>118</v>
      </c>
      <c r="AG165">
        <f t="shared" si="153"/>
        <v>110</v>
      </c>
      <c r="AH165">
        <f t="shared" si="154"/>
        <v>110</v>
      </c>
      <c r="AI165">
        <f t="shared" si="155"/>
        <v>110</v>
      </c>
      <c r="AJ165"/>
    </row>
    <row r="166" spans="15:36" x14ac:dyDescent="0.25">
      <c r="O166" s="61">
        <f t="shared" si="160"/>
        <v>45637</v>
      </c>
      <c r="P166" s="124">
        <f t="shared" si="156"/>
        <v>4</v>
      </c>
      <c r="Q166" s="180">
        <f t="shared" si="189"/>
        <v>1</v>
      </c>
      <c r="R166" s="180">
        <f t="shared" si="189"/>
        <v>1</v>
      </c>
      <c r="S166" s="180">
        <f t="shared" si="189"/>
        <v>1</v>
      </c>
      <c r="T166" s="180">
        <f t="shared" si="189"/>
        <v>1</v>
      </c>
      <c r="U166" s="180">
        <f t="shared" si="189"/>
        <v>1</v>
      </c>
      <c r="V166" s="61">
        <f t="shared" si="157"/>
        <v>45637</v>
      </c>
      <c r="W166" s="124">
        <f t="shared" ref="W166" si="196">WEEKDAY(V166)</f>
        <v>4</v>
      </c>
      <c r="AC166" t="s">
        <v>198</v>
      </c>
      <c r="AD166" s="61">
        <f t="shared" si="162"/>
        <v>45637</v>
      </c>
      <c r="AE166">
        <f t="shared" si="151"/>
        <v>117</v>
      </c>
      <c r="AF166">
        <f t="shared" si="152"/>
        <v>117</v>
      </c>
      <c r="AG166">
        <f t="shared" si="153"/>
        <v>109</v>
      </c>
      <c r="AH166">
        <f t="shared" si="154"/>
        <v>109</v>
      </c>
      <c r="AI166">
        <f t="shared" si="155"/>
        <v>109</v>
      </c>
      <c r="AJ166"/>
    </row>
    <row r="167" spans="15:36" x14ac:dyDescent="0.25">
      <c r="O167" s="61">
        <f t="shared" si="160"/>
        <v>45638</v>
      </c>
      <c r="P167" s="124">
        <f t="shared" si="156"/>
        <v>5</v>
      </c>
      <c r="Q167" s="180">
        <f t="shared" si="189"/>
        <v>1</v>
      </c>
      <c r="R167" s="180">
        <f t="shared" si="189"/>
        <v>1</v>
      </c>
      <c r="S167" s="180">
        <f t="shared" si="189"/>
        <v>1</v>
      </c>
      <c r="T167" s="180">
        <f t="shared" si="189"/>
        <v>1</v>
      </c>
      <c r="U167" s="180">
        <f t="shared" si="189"/>
        <v>1</v>
      </c>
      <c r="V167" s="61">
        <f t="shared" si="157"/>
        <v>45638</v>
      </c>
      <c r="W167" s="124">
        <f t="shared" ref="W167" si="197">WEEKDAY(V167)</f>
        <v>5</v>
      </c>
      <c r="AC167" t="s">
        <v>199</v>
      </c>
      <c r="AD167" s="61">
        <f t="shared" si="162"/>
        <v>45638</v>
      </c>
      <c r="AE167">
        <f t="shared" si="151"/>
        <v>116</v>
      </c>
      <c r="AF167">
        <f t="shared" si="152"/>
        <v>116</v>
      </c>
      <c r="AG167">
        <f t="shared" si="153"/>
        <v>108</v>
      </c>
      <c r="AH167">
        <f t="shared" si="154"/>
        <v>108</v>
      </c>
      <c r="AI167">
        <f t="shared" si="155"/>
        <v>108</v>
      </c>
      <c r="AJ167"/>
    </row>
    <row r="168" spans="15:36" x14ac:dyDescent="0.25">
      <c r="O168" s="61">
        <f t="shared" si="160"/>
        <v>45639</v>
      </c>
      <c r="P168" s="124">
        <f t="shared" si="156"/>
        <v>6</v>
      </c>
      <c r="Q168" s="180">
        <f t="shared" si="189"/>
        <v>1</v>
      </c>
      <c r="R168" s="180">
        <f t="shared" si="189"/>
        <v>1</v>
      </c>
      <c r="S168" s="180">
        <f t="shared" si="189"/>
        <v>1</v>
      </c>
      <c r="T168" s="180">
        <f t="shared" si="189"/>
        <v>1</v>
      </c>
      <c r="U168" s="180">
        <f t="shared" si="189"/>
        <v>1</v>
      </c>
      <c r="V168" s="61">
        <f t="shared" si="157"/>
        <v>45639</v>
      </c>
      <c r="W168" s="124">
        <f t="shared" ref="W168" si="198">WEEKDAY(V168)</f>
        <v>6</v>
      </c>
      <c r="AC168" t="s">
        <v>198</v>
      </c>
      <c r="AD168" s="61">
        <f t="shared" si="162"/>
        <v>45639</v>
      </c>
      <c r="AE168">
        <f t="shared" si="151"/>
        <v>115</v>
      </c>
      <c r="AF168">
        <f t="shared" si="152"/>
        <v>115</v>
      </c>
      <c r="AG168">
        <f t="shared" si="153"/>
        <v>107</v>
      </c>
      <c r="AH168">
        <f t="shared" si="154"/>
        <v>107</v>
      </c>
      <c r="AI168">
        <f t="shared" si="155"/>
        <v>107</v>
      </c>
      <c r="AJ168"/>
    </row>
    <row r="169" spans="15:36" x14ac:dyDescent="0.25">
      <c r="O169" s="61">
        <f t="shared" si="160"/>
        <v>45640</v>
      </c>
      <c r="P169" s="124">
        <f t="shared" si="156"/>
        <v>7</v>
      </c>
      <c r="Q169" s="180" t="str">
        <f t="shared" si="189"/>
        <v/>
      </c>
      <c r="R169" s="180" t="str">
        <f t="shared" si="189"/>
        <v/>
      </c>
      <c r="S169" s="180" t="str">
        <f t="shared" si="189"/>
        <v/>
      </c>
      <c r="T169" s="180" t="str">
        <f t="shared" si="189"/>
        <v/>
      </c>
      <c r="U169" s="180" t="str">
        <f t="shared" si="189"/>
        <v/>
      </c>
      <c r="V169" s="61">
        <f t="shared" si="157"/>
        <v>45640</v>
      </c>
      <c r="W169" s="124">
        <f t="shared" ref="W169" si="199">WEEKDAY(V169)</f>
        <v>7</v>
      </c>
      <c r="AD169" s="61">
        <f t="shared" si="162"/>
        <v>45640</v>
      </c>
      <c r="AE169">
        <f t="shared" si="151"/>
        <v>115</v>
      </c>
      <c r="AF169">
        <f t="shared" si="152"/>
        <v>115</v>
      </c>
      <c r="AG169">
        <f t="shared" si="153"/>
        <v>107</v>
      </c>
      <c r="AH169">
        <f t="shared" si="154"/>
        <v>107</v>
      </c>
      <c r="AI169">
        <f t="shared" si="155"/>
        <v>107</v>
      </c>
      <c r="AJ169"/>
    </row>
    <row r="170" spans="15:36" x14ac:dyDescent="0.25">
      <c r="O170" s="61">
        <f t="shared" si="160"/>
        <v>45641</v>
      </c>
      <c r="P170" s="124">
        <f t="shared" si="156"/>
        <v>1</v>
      </c>
      <c r="Q170" s="180" t="str">
        <f t="shared" si="189"/>
        <v/>
      </c>
      <c r="R170" s="180" t="str">
        <f t="shared" si="189"/>
        <v/>
      </c>
      <c r="S170" s="180" t="str">
        <f t="shared" si="189"/>
        <v/>
      </c>
      <c r="T170" s="180" t="str">
        <f t="shared" si="189"/>
        <v/>
      </c>
      <c r="U170" s="180" t="str">
        <f t="shared" si="189"/>
        <v/>
      </c>
      <c r="V170" s="61">
        <f t="shared" si="157"/>
        <v>45641</v>
      </c>
      <c r="W170" s="124">
        <f t="shared" ref="W170" si="200">WEEKDAY(V170)</f>
        <v>1</v>
      </c>
      <c r="AD170" s="61">
        <f t="shared" si="162"/>
        <v>45641</v>
      </c>
      <c r="AE170">
        <f t="shared" si="151"/>
        <v>115</v>
      </c>
      <c r="AF170">
        <f t="shared" si="152"/>
        <v>115</v>
      </c>
      <c r="AG170">
        <f t="shared" si="153"/>
        <v>107</v>
      </c>
      <c r="AH170">
        <f t="shared" si="154"/>
        <v>107</v>
      </c>
      <c r="AI170">
        <f t="shared" si="155"/>
        <v>107</v>
      </c>
      <c r="AJ170"/>
    </row>
    <row r="171" spans="15:36" x14ac:dyDescent="0.25">
      <c r="O171" s="61">
        <f t="shared" si="160"/>
        <v>45642</v>
      </c>
      <c r="P171" s="124">
        <f t="shared" si="156"/>
        <v>2</v>
      </c>
      <c r="Q171" s="180">
        <f t="shared" si="189"/>
        <v>1</v>
      </c>
      <c r="R171" s="180">
        <f t="shared" si="189"/>
        <v>1</v>
      </c>
      <c r="S171" s="180">
        <f t="shared" si="189"/>
        <v>1</v>
      </c>
      <c r="T171" s="180">
        <f t="shared" si="189"/>
        <v>1</v>
      </c>
      <c r="U171" s="180">
        <f t="shared" si="189"/>
        <v>1</v>
      </c>
      <c r="V171" s="61">
        <f t="shared" si="157"/>
        <v>45642</v>
      </c>
      <c r="W171" s="124">
        <f t="shared" ref="W171" si="201">WEEKDAY(V171)</f>
        <v>2</v>
      </c>
      <c r="AC171" t="s">
        <v>199</v>
      </c>
      <c r="AD171" s="61">
        <f t="shared" si="162"/>
        <v>45642</v>
      </c>
      <c r="AE171">
        <f t="shared" si="151"/>
        <v>114</v>
      </c>
      <c r="AF171">
        <f t="shared" si="152"/>
        <v>114</v>
      </c>
      <c r="AG171">
        <f t="shared" si="153"/>
        <v>106</v>
      </c>
      <c r="AH171">
        <f t="shared" si="154"/>
        <v>106</v>
      </c>
      <c r="AI171">
        <f t="shared" si="155"/>
        <v>106</v>
      </c>
      <c r="AJ171"/>
    </row>
    <row r="172" spans="15:36" x14ac:dyDescent="0.25">
      <c r="O172" s="61">
        <f t="shared" si="160"/>
        <v>45643</v>
      </c>
      <c r="P172" s="124">
        <f t="shared" si="156"/>
        <v>3</v>
      </c>
      <c r="Q172" s="180">
        <f t="shared" si="189"/>
        <v>1</v>
      </c>
      <c r="R172" s="180">
        <f t="shared" si="189"/>
        <v>1</v>
      </c>
      <c r="S172" s="180">
        <f t="shared" si="189"/>
        <v>1</v>
      </c>
      <c r="T172" s="180">
        <f t="shared" si="189"/>
        <v>1</v>
      </c>
      <c r="U172" s="180">
        <f t="shared" si="189"/>
        <v>1</v>
      </c>
      <c r="V172" s="61">
        <f t="shared" si="157"/>
        <v>45643</v>
      </c>
      <c r="W172" s="124">
        <f t="shared" ref="W172" si="202">WEEKDAY(V172)</f>
        <v>3</v>
      </c>
      <c r="AC172" t="s">
        <v>198</v>
      </c>
      <c r="AD172" s="61">
        <f t="shared" si="162"/>
        <v>45643</v>
      </c>
      <c r="AE172">
        <f t="shared" si="151"/>
        <v>113</v>
      </c>
      <c r="AF172">
        <f t="shared" si="152"/>
        <v>113</v>
      </c>
      <c r="AG172">
        <f t="shared" si="153"/>
        <v>105</v>
      </c>
      <c r="AH172">
        <f t="shared" si="154"/>
        <v>105</v>
      </c>
      <c r="AI172">
        <f t="shared" si="155"/>
        <v>105</v>
      </c>
      <c r="AJ172"/>
    </row>
    <row r="173" spans="15:36" x14ac:dyDescent="0.25">
      <c r="O173" s="61">
        <f t="shared" si="160"/>
        <v>45644</v>
      </c>
      <c r="P173" s="124">
        <f t="shared" si="156"/>
        <v>4</v>
      </c>
      <c r="Q173" s="180">
        <f t="shared" si="189"/>
        <v>1</v>
      </c>
      <c r="R173" s="180">
        <f t="shared" si="189"/>
        <v>1</v>
      </c>
      <c r="S173" s="180">
        <f t="shared" si="189"/>
        <v>1</v>
      </c>
      <c r="T173" s="180">
        <f t="shared" si="189"/>
        <v>1</v>
      </c>
      <c r="U173" s="180">
        <f t="shared" si="189"/>
        <v>1</v>
      </c>
      <c r="V173" s="61">
        <f t="shared" si="157"/>
        <v>45644</v>
      </c>
      <c r="W173" s="124">
        <f t="shared" ref="W173" si="203">WEEKDAY(V173)</f>
        <v>4</v>
      </c>
      <c r="AC173" t="s">
        <v>199</v>
      </c>
      <c r="AD173" s="61">
        <f t="shared" si="162"/>
        <v>45644</v>
      </c>
      <c r="AE173">
        <f t="shared" si="151"/>
        <v>112</v>
      </c>
      <c r="AF173">
        <f t="shared" si="152"/>
        <v>112</v>
      </c>
      <c r="AG173">
        <f t="shared" si="153"/>
        <v>104</v>
      </c>
      <c r="AH173">
        <f t="shared" si="154"/>
        <v>104</v>
      </c>
      <c r="AI173">
        <f t="shared" si="155"/>
        <v>104</v>
      </c>
      <c r="AJ173"/>
    </row>
    <row r="174" spans="15:36" x14ac:dyDescent="0.25">
      <c r="O174" s="61">
        <f t="shared" si="160"/>
        <v>45645</v>
      </c>
      <c r="P174" s="124">
        <f t="shared" si="156"/>
        <v>5</v>
      </c>
      <c r="Q174" s="180">
        <f t="shared" si="189"/>
        <v>1</v>
      </c>
      <c r="R174" s="180">
        <f t="shared" si="189"/>
        <v>1</v>
      </c>
      <c r="S174" s="180">
        <f t="shared" si="189"/>
        <v>1</v>
      </c>
      <c r="T174" s="180">
        <f t="shared" si="189"/>
        <v>1</v>
      </c>
      <c r="U174" s="180">
        <f t="shared" si="189"/>
        <v>1</v>
      </c>
      <c r="V174" s="61">
        <f t="shared" si="157"/>
        <v>45645</v>
      </c>
      <c r="W174" s="124">
        <f t="shared" ref="W174" si="204">WEEKDAY(V174)</f>
        <v>5</v>
      </c>
      <c r="AC174" t="s">
        <v>198</v>
      </c>
      <c r="AD174" s="61">
        <f t="shared" si="162"/>
        <v>45645</v>
      </c>
      <c r="AE174">
        <f t="shared" si="151"/>
        <v>111</v>
      </c>
      <c r="AF174">
        <f t="shared" si="152"/>
        <v>111</v>
      </c>
      <c r="AG174">
        <f t="shared" si="153"/>
        <v>103</v>
      </c>
      <c r="AH174">
        <f t="shared" si="154"/>
        <v>103</v>
      </c>
      <c r="AI174">
        <f t="shared" si="155"/>
        <v>103</v>
      </c>
      <c r="AJ174"/>
    </row>
    <row r="175" spans="15:36" x14ac:dyDescent="0.25">
      <c r="O175" s="61">
        <f t="shared" si="160"/>
        <v>45646</v>
      </c>
      <c r="P175" s="124">
        <f t="shared" si="156"/>
        <v>6</v>
      </c>
      <c r="Q175" s="180">
        <f t="shared" si="189"/>
        <v>1</v>
      </c>
      <c r="R175" s="180">
        <f t="shared" si="189"/>
        <v>1</v>
      </c>
      <c r="S175" s="180">
        <f t="shared" si="189"/>
        <v>1</v>
      </c>
      <c r="T175" s="180">
        <f t="shared" si="189"/>
        <v>1</v>
      </c>
      <c r="U175" s="180">
        <f t="shared" si="189"/>
        <v>1</v>
      </c>
      <c r="V175" s="61">
        <f t="shared" si="157"/>
        <v>45646</v>
      </c>
      <c r="W175" s="124">
        <f t="shared" ref="W175" si="205">WEEKDAY(V175)</f>
        <v>6</v>
      </c>
      <c r="AC175" t="s">
        <v>199</v>
      </c>
      <c r="AD175" s="61">
        <f t="shared" si="162"/>
        <v>45646</v>
      </c>
      <c r="AE175">
        <f t="shared" si="151"/>
        <v>110</v>
      </c>
      <c r="AF175">
        <f t="shared" si="152"/>
        <v>110</v>
      </c>
      <c r="AG175">
        <f t="shared" si="153"/>
        <v>102</v>
      </c>
      <c r="AH175">
        <f t="shared" si="154"/>
        <v>102</v>
      </c>
      <c r="AI175">
        <f t="shared" si="155"/>
        <v>102</v>
      </c>
      <c r="AJ175"/>
    </row>
    <row r="176" spans="15:36" x14ac:dyDescent="0.25">
      <c r="O176" s="61">
        <f t="shared" si="160"/>
        <v>45647</v>
      </c>
      <c r="P176" s="124">
        <f t="shared" si="156"/>
        <v>7</v>
      </c>
      <c r="Q176" s="180" t="str">
        <f t="shared" si="189"/>
        <v/>
      </c>
      <c r="R176" s="180" t="str">
        <f t="shared" si="189"/>
        <v/>
      </c>
      <c r="S176" s="180" t="str">
        <f t="shared" si="189"/>
        <v/>
      </c>
      <c r="T176" s="180" t="str">
        <f t="shared" si="189"/>
        <v/>
      </c>
      <c r="U176" s="180" t="str">
        <f t="shared" si="189"/>
        <v/>
      </c>
      <c r="V176" s="61">
        <f t="shared" si="157"/>
        <v>45647</v>
      </c>
      <c r="W176" s="124">
        <f t="shared" ref="W176" si="206">WEEKDAY(V176)</f>
        <v>7</v>
      </c>
      <c r="AD176" s="61">
        <f t="shared" si="162"/>
        <v>45647</v>
      </c>
      <c r="AE176">
        <f t="shared" si="151"/>
        <v>110</v>
      </c>
      <c r="AF176">
        <f t="shared" si="152"/>
        <v>110</v>
      </c>
      <c r="AG176">
        <f t="shared" si="153"/>
        <v>102</v>
      </c>
      <c r="AH176">
        <f t="shared" si="154"/>
        <v>102</v>
      </c>
      <c r="AI176">
        <f t="shared" si="155"/>
        <v>102</v>
      </c>
      <c r="AJ176"/>
    </row>
    <row r="177" spans="15:36" x14ac:dyDescent="0.25">
      <c r="O177" s="61">
        <f t="shared" si="160"/>
        <v>45648</v>
      </c>
      <c r="P177" s="124">
        <f t="shared" si="156"/>
        <v>1</v>
      </c>
      <c r="R177" s="180"/>
      <c r="S177" s="180"/>
      <c r="T177" s="180"/>
      <c r="U177" s="180"/>
      <c r="V177" s="61">
        <f t="shared" si="157"/>
        <v>45648</v>
      </c>
      <c r="W177" s="124">
        <f t="shared" ref="W177" si="207">WEEKDAY(V177)</f>
        <v>1</v>
      </c>
      <c r="AD177" s="61">
        <f t="shared" si="162"/>
        <v>45648</v>
      </c>
      <c r="AE177">
        <f t="shared" si="151"/>
        <v>110</v>
      </c>
      <c r="AF177">
        <f t="shared" si="152"/>
        <v>110</v>
      </c>
      <c r="AG177">
        <f t="shared" si="153"/>
        <v>102</v>
      </c>
      <c r="AH177">
        <f t="shared" si="154"/>
        <v>102</v>
      </c>
      <c r="AI177">
        <f t="shared" si="155"/>
        <v>102</v>
      </c>
      <c r="AJ177"/>
    </row>
    <row r="178" spans="15:36" x14ac:dyDescent="0.25">
      <c r="O178" s="61">
        <f t="shared" si="160"/>
        <v>45649</v>
      </c>
      <c r="P178" s="124">
        <f t="shared" si="156"/>
        <v>2</v>
      </c>
      <c r="Q178" s="180" t="s">
        <v>177</v>
      </c>
      <c r="R178" s="180" t="s">
        <v>177</v>
      </c>
      <c r="S178" s="180" t="s">
        <v>177</v>
      </c>
      <c r="T178" s="180" t="s">
        <v>177</v>
      </c>
      <c r="U178" s="180" t="s">
        <v>177</v>
      </c>
      <c r="V178" s="61">
        <f t="shared" si="157"/>
        <v>45649</v>
      </c>
      <c r="W178" s="124">
        <f t="shared" ref="W178" si="208">WEEKDAY(V178)</f>
        <v>2</v>
      </c>
      <c r="AD178" s="61">
        <f t="shared" si="162"/>
        <v>45649</v>
      </c>
      <c r="AE178">
        <f t="shared" si="151"/>
        <v>110</v>
      </c>
      <c r="AF178">
        <f t="shared" si="152"/>
        <v>110</v>
      </c>
      <c r="AG178">
        <f t="shared" si="153"/>
        <v>102</v>
      </c>
      <c r="AH178">
        <f t="shared" si="154"/>
        <v>102</v>
      </c>
      <c r="AI178">
        <f t="shared" si="155"/>
        <v>102</v>
      </c>
      <c r="AJ178"/>
    </row>
    <row r="179" spans="15:36" x14ac:dyDescent="0.25">
      <c r="O179" s="61">
        <f t="shared" si="160"/>
        <v>45650</v>
      </c>
      <c r="P179" s="124">
        <f t="shared" si="156"/>
        <v>3</v>
      </c>
      <c r="Q179" s="180" t="s">
        <v>177</v>
      </c>
      <c r="R179" s="180" t="s">
        <v>177</v>
      </c>
      <c r="S179" s="180" t="s">
        <v>177</v>
      </c>
      <c r="T179" s="180" t="s">
        <v>177</v>
      </c>
      <c r="U179" s="180" t="s">
        <v>177</v>
      </c>
      <c r="V179" s="61">
        <f t="shared" si="157"/>
        <v>45650</v>
      </c>
      <c r="W179" s="124">
        <f t="shared" ref="W179" si="209">WEEKDAY(V179)</f>
        <v>3</v>
      </c>
      <c r="AD179" s="61">
        <f t="shared" si="162"/>
        <v>45650</v>
      </c>
      <c r="AE179">
        <f t="shared" si="151"/>
        <v>110</v>
      </c>
      <c r="AF179">
        <f t="shared" si="152"/>
        <v>110</v>
      </c>
      <c r="AG179">
        <f t="shared" si="153"/>
        <v>102</v>
      </c>
      <c r="AH179">
        <f t="shared" si="154"/>
        <v>102</v>
      </c>
      <c r="AI179">
        <f t="shared" si="155"/>
        <v>102</v>
      </c>
      <c r="AJ179"/>
    </row>
    <row r="180" spans="15:36" x14ac:dyDescent="0.25">
      <c r="O180" s="61">
        <f t="shared" si="160"/>
        <v>45651</v>
      </c>
      <c r="P180" s="124">
        <f t="shared" si="156"/>
        <v>4</v>
      </c>
      <c r="Q180" s="180" t="s">
        <v>177</v>
      </c>
      <c r="R180" s="180" t="s">
        <v>177</v>
      </c>
      <c r="S180" s="180" t="s">
        <v>177</v>
      </c>
      <c r="T180" s="180" t="s">
        <v>177</v>
      </c>
      <c r="U180" s="180" t="s">
        <v>177</v>
      </c>
      <c r="V180" s="61">
        <f t="shared" si="157"/>
        <v>45651</v>
      </c>
      <c r="W180" s="124">
        <f t="shared" ref="W180" si="210">WEEKDAY(V180)</f>
        <v>4</v>
      </c>
      <c r="AD180" s="61">
        <f t="shared" si="162"/>
        <v>45651</v>
      </c>
      <c r="AE180">
        <f t="shared" si="151"/>
        <v>110</v>
      </c>
      <c r="AF180">
        <f t="shared" si="152"/>
        <v>110</v>
      </c>
      <c r="AG180">
        <f t="shared" si="153"/>
        <v>102</v>
      </c>
      <c r="AH180">
        <f t="shared" si="154"/>
        <v>102</v>
      </c>
      <c r="AI180">
        <f t="shared" si="155"/>
        <v>102</v>
      </c>
      <c r="AJ180"/>
    </row>
    <row r="181" spans="15:36" x14ac:dyDescent="0.25">
      <c r="O181" s="61">
        <f t="shared" si="160"/>
        <v>45652</v>
      </c>
      <c r="P181" s="124">
        <f t="shared" si="156"/>
        <v>5</v>
      </c>
      <c r="Q181" s="180" t="s">
        <v>177</v>
      </c>
      <c r="R181" s="180" t="s">
        <v>177</v>
      </c>
      <c r="S181" s="180" t="s">
        <v>177</v>
      </c>
      <c r="T181" s="180" t="s">
        <v>177</v>
      </c>
      <c r="U181" s="180" t="s">
        <v>177</v>
      </c>
      <c r="V181" s="61">
        <f t="shared" si="157"/>
        <v>45652</v>
      </c>
      <c r="W181" s="124">
        <f t="shared" ref="W181" si="211">WEEKDAY(V181)</f>
        <v>5</v>
      </c>
      <c r="AD181" s="61">
        <f t="shared" si="162"/>
        <v>45652</v>
      </c>
      <c r="AE181">
        <f t="shared" si="151"/>
        <v>110</v>
      </c>
      <c r="AF181">
        <f t="shared" si="152"/>
        <v>110</v>
      </c>
      <c r="AG181">
        <f t="shared" si="153"/>
        <v>102</v>
      </c>
      <c r="AH181">
        <f t="shared" si="154"/>
        <v>102</v>
      </c>
      <c r="AI181">
        <f t="shared" si="155"/>
        <v>102</v>
      </c>
      <c r="AJ181"/>
    </row>
    <row r="182" spans="15:36" x14ac:dyDescent="0.25">
      <c r="O182" s="61">
        <f t="shared" si="160"/>
        <v>45653</v>
      </c>
      <c r="P182" s="124">
        <f t="shared" si="156"/>
        <v>6</v>
      </c>
      <c r="Q182" s="180" t="s">
        <v>177</v>
      </c>
      <c r="R182" s="180" t="s">
        <v>177</v>
      </c>
      <c r="S182" s="180" t="s">
        <v>177</v>
      </c>
      <c r="T182" s="180" t="s">
        <v>177</v>
      </c>
      <c r="U182" s="180" t="s">
        <v>177</v>
      </c>
      <c r="V182" s="61">
        <f t="shared" si="157"/>
        <v>45653</v>
      </c>
      <c r="W182" s="124">
        <f t="shared" ref="W182" si="212">WEEKDAY(V182)</f>
        <v>6</v>
      </c>
      <c r="AD182" s="61">
        <f t="shared" si="162"/>
        <v>45653</v>
      </c>
      <c r="AE182">
        <f t="shared" si="151"/>
        <v>110</v>
      </c>
      <c r="AF182">
        <f t="shared" si="152"/>
        <v>110</v>
      </c>
      <c r="AG182">
        <f t="shared" si="153"/>
        <v>102</v>
      </c>
      <c r="AH182">
        <f t="shared" si="154"/>
        <v>102</v>
      </c>
      <c r="AI182">
        <f t="shared" si="155"/>
        <v>102</v>
      </c>
      <c r="AJ182"/>
    </row>
    <row r="183" spans="15:36" x14ac:dyDescent="0.25">
      <c r="O183" s="61">
        <f t="shared" si="160"/>
        <v>45654</v>
      </c>
      <c r="P183" s="124">
        <f t="shared" si="156"/>
        <v>7</v>
      </c>
      <c r="R183" s="180"/>
      <c r="S183" s="180"/>
      <c r="T183" s="180"/>
      <c r="U183" s="180"/>
      <c r="V183" s="61">
        <f t="shared" si="157"/>
        <v>45654</v>
      </c>
      <c r="W183" s="124">
        <f t="shared" ref="W183" si="213">WEEKDAY(V183)</f>
        <v>7</v>
      </c>
      <c r="AD183" s="61">
        <f t="shared" si="162"/>
        <v>45654</v>
      </c>
      <c r="AE183">
        <f t="shared" si="151"/>
        <v>110</v>
      </c>
      <c r="AF183">
        <f t="shared" si="152"/>
        <v>110</v>
      </c>
      <c r="AG183">
        <f t="shared" si="153"/>
        <v>102</v>
      </c>
      <c r="AH183">
        <f t="shared" si="154"/>
        <v>102</v>
      </c>
      <c r="AI183">
        <f t="shared" si="155"/>
        <v>102</v>
      </c>
      <c r="AJ183"/>
    </row>
    <row r="184" spans="15:36" x14ac:dyDescent="0.25">
      <c r="O184" s="61">
        <f t="shared" si="160"/>
        <v>45655</v>
      </c>
      <c r="P184" s="124">
        <f t="shared" si="156"/>
        <v>1</v>
      </c>
      <c r="R184" s="180"/>
      <c r="S184" s="180"/>
      <c r="T184" s="180"/>
      <c r="U184" s="180"/>
      <c r="V184" s="61">
        <f t="shared" si="157"/>
        <v>45655</v>
      </c>
      <c r="W184" s="124">
        <f t="shared" ref="W184" si="214">WEEKDAY(V184)</f>
        <v>1</v>
      </c>
      <c r="AD184" s="61">
        <f t="shared" si="162"/>
        <v>45655</v>
      </c>
      <c r="AE184">
        <f t="shared" si="151"/>
        <v>110</v>
      </c>
      <c r="AF184">
        <f t="shared" si="152"/>
        <v>110</v>
      </c>
      <c r="AG184">
        <f t="shared" si="153"/>
        <v>102</v>
      </c>
      <c r="AH184">
        <f t="shared" si="154"/>
        <v>102</v>
      </c>
      <c r="AI184">
        <f t="shared" si="155"/>
        <v>102</v>
      </c>
      <c r="AJ184"/>
    </row>
    <row r="185" spans="15:36" x14ac:dyDescent="0.25">
      <c r="O185" s="61">
        <f t="shared" si="160"/>
        <v>45656</v>
      </c>
      <c r="P185" s="124">
        <f t="shared" si="156"/>
        <v>2</v>
      </c>
      <c r="Q185" s="180" t="s">
        <v>177</v>
      </c>
      <c r="R185" s="180" t="s">
        <v>177</v>
      </c>
      <c r="S185" s="180" t="s">
        <v>177</v>
      </c>
      <c r="T185" s="180" t="s">
        <v>177</v>
      </c>
      <c r="U185" s="180" t="s">
        <v>177</v>
      </c>
      <c r="V185" s="61">
        <f t="shared" si="157"/>
        <v>45656</v>
      </c>
      <c r="W185" s="124">
        <f t="shared" ref="W185" si="215">WEEKDAY(V185)</f>
        <v>2</v>
      </c>
      <c r="AD185" s="61">
        <f t="shared" si="162"/>
        <v>45656</v>
      </c>
      <c r="AE185">
        <f t="shared" si="151"/>
        <v>110</v>
      </c>
      <c r="AF185">
        <f t="shared" si="152"/>
        <v>110</v>
      </c>
      <c r="AG185">
        <f t="shared" si="153"/>
        <v>102</v>
      </c>
      <c r="AH185">
        <f t="shared" si="154"/>
        <v>102</v>
      </c>
      <c r="AI185">
        <f t="shared" si="155"/>
        <v>102</v>
      </c>
      <c r="AJ185"/>
    </row>
    <row r="186" spans="15:36" x14ac:dyDescent="0.25">
      <c r="O186" s="61">
        <f t="shared" si="160"/>
        <v>45657</v>
      </c>
      <c r="P186" s="124">
        <f t="shared" si="156"/>
        <v>3</v>
      </c>
      <c r="Q186" s="180" t="s">
        <v>177</v>
      </c>
      <c r="R186" s="180" t="s">
        <v>177</v>
      </c>
      <c r="S186" s="180" t="s">
        <v>177</v>
      </c>
      <c r="T186" s="180" t="s">
        <v>177</v>
      </c>
      <c r="U186" s="180" t="s">
        <v>177</v>
      </c>
      <c r="V186" s="61">
        <f t="shared" si="157"/>
        <v>45657</v>
      </c>
      <c r="W186" s="124">
        <f t="shared" ref="W186" si="216">WEEKDAY(V186)</f>
        <v>3</v>
      </c>
      <c r="AD186" s="61">
        <f t="shared" si="162"/>
        <v>45657</v>
      </c>
      <c r="AE186">
        <f t="shared" si="151"/>
        <v>110</v>
      </c>
      <c r="AF186">
        <f t="shared" si="152"/>
        <v>110</v>
      </c>
      <c r="AG186">
        <f t="shared" si="153"/>
        <v>102</v>
      </c>
      <c r="AH186">
        <f t="shared" si="154"/>
        <v>102</v>
      </c>
      <c r="AI186">
        <f t="shared" si="155"/>
        <v>102</v>
      </c>
      <c r="AJ186"/>
    </row>
    <row r="187" spans="15:36" x14ac:dyDescent="0.25">
      <c r="O187" s="61">
        <f t="shared" si="160"/>
        <v>45658</v>
      </c>
      <c r="P187" s="124">
        <f t="shared" si="156"/>
        <v>4</v>
      </c>
      <c r="Q187" s="180" t="s">
        <v>177</v>
      </c>
      <c r="R187" s="180" t="s">
        <v>177</v>
      </c>
      <c r="S187" s="180" t="s">
        <v>177</v>
      </c>
      <c r="T187" s="180" t="s">
        <v>177</v>
      </c>
      <c r="U187" s="180" t="s">
        <v>177</v>
      </c>
      <c r="V187" s="61">
        <f t="shared" si="157"/>
        <v>45658</v>
      </c>
      <c r="W187" s="124">
        <f t="shared" ref="W187" si="217">WEEKDAY(V187)</f>
        <v>4</v>
      </c>
      <c r="AD187" s="61">
        <f t="shared" si="162"/>
        <v>45658</v>
      </c>
      <c r="AE187">
        <f t="shared" si="151"/>
        <v>110</v>
      </c>
      <c r="AF187">
        <f t="shared" si="152"/>
        <v>110</v>
      </c>
      <c r="AG187">
        <f t="shared" si="153"/>
        <v>102</v>
      </c>
      <c r="AH187">
        <f t="shared" si="154"/>
        <v>102</v>
      </c>
      <c r="AI187">
        <f t="shared" si="155"/>
        <v>102</v>
      </c>
      <c r="AJ187"/>
    </row>
    <row r="188" spans="15:36" x14ac:dyDescent="0.25">
      <c r="O188" s="61">
        <f t="shared" si="160"/>
        <v>45659</v>
      </c>
      <c r="P188" s="124">
        <f t="shared" si="156"/>
        <v>5</v>
      </c>
      <c r="Q188" s="180" t="s">
        <v>177</v>
      </c>
      <c r="R188" s="180" t="s">
        <v>177</v>
      </c>
      <c r="S188" s="180" t="s">
        <v>177</v>
      </c>
      <c r="T188" s="180" t="s">
        <v>177</v>
      </c>
      <c r="U188" s="180" t="s">
        <v>177</v>
      </c>
      <c r="V188" s="61">
        <f t="shared" si="157"/>
        <v>45659</v>
      </c>
      <c r="W188" s="124">
        <f t="shared" ref="W188" si="218">WEEKDAY(V188)</f>
        <v>5</v>
      </c>
      <c r="AD188" s="61">
        <f t="shared" si="162"/>
        <v>45659</v>
      </c>
      <c r="AE188">
        <f t="shared" si="151"/>
        <v>110</v>
      </c>
      <c r="AF188">
        <f t="shared" si="152"/>
        <v>110</v>
      </c>
      <c r="AG188">
        <f t="shared" si="153"/>
        <v>102</v>
      </c>
      <c r="AH188">
        <f t="shared" si="154"/>
        <v>102</v>
      </c>
      <c r="AI188">
        <f t="shared" si="155"/>
        <v>102</v>
      </c>
      <c r="AJ188"/>
    </row>
    <row r="189" spans="15:36" x14ac:dyDescent="0.25">
      <c r="O189" s="61">
        <f t="shared" si="160"/>
        <v>45660</v>
      </c>
      <c r="P189" s="124">
        <f t="shared" si="156"/>
        <v>6</v>
      </c>
      <c r="Q189" s="180" t="s">
        <v>177</v>
      </c>
      <c r="R189" s="180" t="s">
        <v>177</v>
      </c>
      <c r="S189" s="180" t="s">
        <v>177</v>
      </c>
      <c r="T189" s="180" t="s">
        <v>177</v>
      </c>
      <c r="U189" s="180" t="s">
        <v>177</v>
      </c>
      <c r="V189" s="61">
        <f t="shared" si="157"/>
        <v>45660</v>
      </c>
      <c r="W189" s="124">
        <f t="shared" ref="W189" si="219">WEEKDAY(V189)</f>
        <v>6</v>
      </c>
      <c r="AD189" s="61">
        <f t="shared" si="162"/>
        <v>45660</v>
      </c>
      <c r="AE189">
        <f t="shared" si="151"/>
        <v>110</v>
      </c>
      <c r="AF189">
        <f t="shared" si="152"/>
        <v>110</v>
      </c>
      <c r="AG189">
        <f t="shared" si="153"/>
        <v>102</v>
      </c>
      <c r="AH189">
        <f t="shared" si="154"/>
        <v>102</v>
      </c>
      <c r="AI189">
        <f t="shared" si="155"/>
        <v>102</v>
      </c>
      <c r="AJ189"/>
    </row>
    <row r="190" spans="15:36" x14ac:dyDescent="0.25">
      <c r="O190" s="61">
        <f t="shared" si="160"/>
        <v>45661</v>
      </c>
      <c r="P190" s="124">
        <f t="shared" si="156"/>
        <v>7</v>
      </c>
      <c r="Q190" s="180" t="str">
        <f t="shared" ref="Q190:U239" si="220">IF(OR($P190=2,$P190=3,$P190=4,$P190=5,$P190=6),1,"")</f>
        <v/>
      </c>
      <c r="R190" s="180" t="str">
        <f t="shared" si="220"/>
        <v/>
      </c>
      <c r="S190" s="180" t="str">
        <f t="shared" si="220"/>
        <v/>
      </c>
      <c r="T190" s="180" t="str">
        <f t="shared" si="220"/>
        <v/>
      </c>
      <c r="U190" s="180" t="str">
        <f t="shared" si="220"/>
        <v/>
      </c>
      <c r="V190" s="61">
        <f t="shared" si="157"/>
        <v>45661</v>
      </c>
      <c r="W190" s="124">
        <f t="shared" ref="W190" si="221">WEEKDAY(V190)</f>
        <v>7</v>
      </c>
      <c r="AD190" s="61">
        <f t="shared" si="162"/>
        <v>45661</v>
      </c>
      <c r="AE190">
        <f t="shared" si="151"/>
        <v>110</v>
      </c>
      <c r="AF190">
        <f t="shared" si="152"/>
        <v>110</v>
      </c>
      <c r="AG190">
        <f t="shared" si="153"/>
        <v>102</v>
      </c>
      <c r="AH190">
        <f t="shared" si="154"/>
        <v>102</v>
      </c>
      <c r="AI190">
        <f t="shared" si="155"/>
        <v>102</v>
      </c>
      <c r="AJ190"/>
    </row>
    <row r="191" spans="15:36" x14ac:dyDescent="0.25">
      <c r="O191" s="61">
        <f t="shared" si="160"/>
        <v>45662</v>
      </c>
      <c r="P191" s="124">
        <f t="shared" si="156"/>
        <v>1</v>
      </c>
      <c r="Q191" s="180" t="str">
        <f t="shared" si="220"/>
        <v/>
      </c>
      <c r="R191" s="180" t="str">
        <f t="shared" si="220"/>
        <v/>
      </c>
      <c r="S191" s="180" t="str">
        <f t="shared" si="220"/>
        <v/>
      </c>
      <c r="T191" s="180" t="str">
        <f t="shared" si="220"/>
        <v/>
      </c>
      <c r="U191" s="180" t="str">
        <f t="shared" si="220"/>
        <v/>
      </c>
      <c r="V191" s="61">
        <f t="shared" si="157"/>
        <v>45662</v>
      </c>
      <c r="W191" s="124">
        <f t="shared" ref="W191" si="222">WEEKDAY(V191)</f>
        <v>1</v>
      </c>
      <c r="AD191" s="61">
        <f t="shared" si="162"/>
        <v>45662</v>
      </c>
      <c r="AE191">
        <f t="shared" si="151"/>
        <v>110</v>
      </c>
      <c r="AF191">
        <f t="shared" si="152"/>
        <v>110</v>
      </c>
      <c r="AG191">
        <f t="shared" si="153"/>
        <v>102</v>
      </c>
      <c r="AH191">
        <f t="shared" si="154"/>
        <v>102</v>
      </c>
      <c r="AI191">
        <f t="shared" si="155"/>
        <v>102</v>
      </c>
      <c r="AJ191"/>
    </row>
    <row r="192" spans="15:36" x14ac:dyDescent="0.25">
      <c r="O192" s="61">
        <f t="shared" si="160"/>
        <v>45663</v>
      </c>
      <c r="P192" s="124">
        <f t="shared" si="156"/>
        <v>2</v>
      </c>
      <c r="Q192" s="180">
        <f t="shared" si="220"/>
        <v>1</v>
      </c>
      <c r="R192" s="180">
        <f t="shared" si="220"/>
        <v>1</v>
      </c>
      <c r="S192" s="180">
        <f t="shared" si="220"/>
        <v>1</v>
      </c>
      <c r="T192" s="180">
        <f t="shared" si="220"/>
        <v>1</v>
      </c>
      <c r="U192" s="180">
        <f t="shared" si="220"/>
        <v>1</v>
      </c>
      <c r="V192" s="61">
        <f t="shared" si="157"/>
        <v>45663</v>
      </c>
      <c r="W192" s="124">
        <f t="shared" ref="W192" si="223">WEEKDAY(V192)</f>
        <v>2</v>
      </c>
      <c r="AC192" t="s">
        <v>198</v>
      </c>
      <c r="AD192" s="61">
        <f t="shared" si="162"/>
        <v>45663</v>
      </c>
      <c r="AE192">
        <f t="shared" si="151"/>
        <v>109</v>
      </c>
      <c r="AF192">
        <f t="shared" si="152"/>
        <v>109</v>
      </c>
      <c r="AG192">
        <f t="shared" si="153"/>
        <v>101</v>
      </c>
      <c r="AH192">
        <f t="shared" si="154"/>
        <v>101</v>
      </c>
      <c r="AI192">
        <f t="shared" si="155"/>
        <v>101</v>
      </c>
      <c r="AJ192"/>
    </row>
    <row r="193" spans="15:36" x14ac:dyDescent="0.25">
      <c r="O193" s="61">
        <f t="shared" si="160"/>
        <v>45664</v>
      </c>
      <c r="P193" s="124">
        <f t="shared" si="156"/>
        <v>3</v>
      </c>
      <c r="Q193" s="180">
        <f t="shared" si="220"/>
        <v>1</v>
      </c>
      <c r="R193" s="180">
        <f t="shared" si="220"/>
        <v>1</v>
      </c>
      <c r="S193" s="180">
        <f t="shared" si="220"/>
        <v>1</v>
      </c>
      <c r="T193" s="180">
        <f t="shared" si="220"/>
        <v>1</v>
      </c>
      <c r="U193" s="180">
        <f t="shared" si="220"/>
        <v>1</v>
      </c>
      <c r="V193" s="61">
        <f t="shared" si="157"/>
        <v>45664</v>
      </c>
      <c r="W193" s="124">
        <f t="shared" ref="W193" si="224">WEEKDAY(V193)</f>
        <v>3</v>
      </c>
      <c r="AC193" t="s">
        <v>199</v>
      </c>
      <c r="AD193" s="61">
        <f t="shared" si="162"/>
        <v>45664</v>
      </c>
      <c r="AE193">
        <f t="shared" si="151"/>
        <v>108</v>
      </c>
      <c r="AF193">
        <f t="shared" si="152"/>
        <v>108</v>
      </c>
      <c r="AG193">
        <f t="shared" si="153"/>
        <v>100</v>
      </c>
      <c r="AH193">
        <f t="shared" si="154"/>
        <v>100</v>
      </c>
      <c r="AI193">
        <f t="shared" si="155"/>
        <v>100</v>
      </c>
      <c r="AJ193"/>
    </row>
    <row r="194" spans="15:36" x14ac:dyDescent="0.25">
      <c r="O194" s="61">
        <f t="shared" si="160"/>
        <v>45665</v>
      </c>
      <c r="P194" s="124">
        <f t="shared" si="156"/>
        <v>4</v>
      </c>
      <c r="Q194" s="180">
        <f t="shared" si="220"/>
        <v>1</v>
      </c>
      <c r="R194" s="180">
        <f t="shared" si="220"/>
        <v>1</v>
      </c>
      <c r="S194" s="180">
        <f t="shared" si="220"/>
        <v>1</v>
      </c>
      <c r="T194" s="180">
        <f t="shared" si="220"/>
        <v>1</v>
      </c>
      <c r="U194" s="180">
        <f t="shared" si="220"/>
        <v>1</v>
      </c>
      <c r="V194" s="61">
        <f t="shared" si="157"/>
        <v>45665</v>
      </c>
      <c r="W194" s="124">
        <f t="shared" ref="W194" si="225">WEEKDAY(V194)</f>
        <v>4</v>
      </c>
      <c r="AC194" t="s">
        <v>198</v>
      </c>
      <c r="AD194" s="61">
        <f t="shared" si="162"/>
        <v>45665</v>
      </c>
      <c r="AE194">
        <f t="shared" si="151"/>
        <v>107</v>
      </c>
      <c r="AF194">
        <f t="shared" si="152"/>
        <v>107</v>
      </c>
      <c r="AG194">
        <f t="shared" si="153"/>
        <v>99</v>
      </c>
      <c r="AH194">
        <f t="shared" si="154"/>
        <v>99</v>
      </c>
      <c r="AI194">
        <f t="shared" si="155"/>
        <v>99</v>
      </c>
      <c r="AJ194"/>
    </row>
    <row r="195" spans="15:36" x14ac:dyDescent="0.25">
      <c r="O195" s="61">
        <f t="shared" si="160"/>
        <v>45666</v>
      </c>
      <c r="P195" s="124">
        <f t="shared" si="156"/>
        <v>5</v>
      </c>
      <c r="Q195" s="180">
        <f t="shared" si="220"/>
        <v>1</v>
      </c>
      <c r="R195" s="180">
        <f t="shared" si="220"/>
        <v>1</v>
      </c>
      <c r="S195" s="180">
        <f t="shared" si="220"/>
        <v>1</v>
      </c>
      <c r="T195" s="180">
        <f t="shared" si="220"/>
        <v>1</v>
      </c>
      <c r="U195" s="180">
        <f t="shared" si="220"/>
        <v>1</v>
      </c>
      <c r="V195" s="61">
        <f t="shared" si="157"/>
        <v>45666</v>
      </c>
      <c r="W195" s="124">
        <f t="shared" ref="W195" si="226">WEEKDAY(V195)</f>
        <v>5</v>
      </c>
      <c r="AC195" t="s">
        <v>199</v>
      </c>
      <c r="AD195" s="61">
        <f t="shared" si="162"/>
        <v>45666</v>
      </c>
      <c r="AE195">
        <f t="shared" ref="AE195:AE258" si="227">AE194-(IF(Q195=1,1,0))</f>
        <v>106</v>
      </c>
      <c r="AF195">
        <f t="shared" ref="AF195:AF258" si="228">AF194-(IF(R195=1,1,0))</f>
        <v>106</v>
      </c>
      <c r="AG195">
        <f t="shared" ref="AG195:AG258" si="229">AG194-(IF(S195=1,1,0))</f>
        <v>98</v>
      </c>
      <c r="AH195">
        <f t="shared" ref="AH195:AH258" si="230">AH194-(IF(T195=1,1,0))</f>
        <v>98</v>
      </c>
      <c r="AI195">
        <f t="shared" ref="AI195:AI258" si="231">AI194-(IF(U195=1,1,0))</f>
        <v>98</v>
      </c>
      <c r="AJ195"/>
    </row>
    <row r="196" spans="15:36" x14ac:dyDescent="0.25">
      <c r="O196" s="61">
        <f t="shared" si="160"/>
        <v>45667</v>
      </c>
      <c r="P196" s="124">
        <f t="shared" ref="P196:P259" si="232">WEEKDAY(O196)</f>
        <v>6</v>
      </c>
      <c r="Q196" s="180">
        <f t="shared" si="220"/>
        <v>1</v>
      </c>
      <c r="R196" s="180">
        <f t="shared" si="220"/>
        <v>1</v>
      </c>
      <c r="S196" s="180">
        <f t="shared" si="220"/>
        <v>1</v>
      </c>
      <c r="T196" s="180">
        <f t="shared" si="220"/>
        <v>1</v>
      </c>
      <c r="U196" s="180">
        <f t="shared" si="220"/>
        <v>1</v>
      </c>
      <c r="V196" s="61">
        <f t="shared" ref="V196:V259" si="233">V195+1</f>
        <v>45667</v>
      </c>
      <c r="W196" s="124">
        <f t="shared" ref="W196" si="234">WEEKDAY(V196)</f>
        <v>6</v>
      </c>
      <c r="AC196" t="s">
        <v>198</v>
      </c>
      <c r="AD196" s="61">
        <f t="shared" si="162"/>
        <v>45667</v>
      </c>
      <c r="AE196">
        <f t="shared" si="227"/>
        <v>105</v>
      </c>
      <c r="AF196">
        <f t="shared" si="228"/>
        <v>105</v>
      </c>
      <c r="AG196">
        <f t="shared" si="229"/>
        <v>97</v>
      </c>
      <c r="AH196">
        <f t="shared" si="230"/>
        <v>97</v>
      </c>
      <c r="AI196">
        <f t="shared" si="231"/>
        <v>97</v>
      </c>
      <c r="AJ196"/>
    </row>
    <row r="197" spans="15:36" x14ac:dyDescent="0.25">
      <c r="O197" s="61">
        <f t="shared" si="160"/>
        <v>45668</v>
      </c>
      <c r="P197" s="124">
        <f t="shared" si="232"/>
        <v>7</v>
      </c>
      <c r="Q197" s="180" t="str">
        <f t="shared" si="220"/>
        <v/>
      </c>
      <c r="R197" s="180" t="str">
        <f t="shared" si="220"/>
        <v/>
      </c>
      <c r="S197" s="180" t="str">
        <f t="shared" si="220"/>
        <v/>
      </c>
      <c r="T197" s="180" t="str">
        <f t="shared" si="220"/>
        <v/>
      </c>
      <c r="U197" s="180" t="str">
        <f t="shared" si="220"/>
        <v/>
      </c>
      <c r="V197" s="61">
        <f t="shared" si="233"/>
        <v>45668</v>
      </c>
      <c r="W197" s="124">
        <f t="shared" ref="W197" si="235">WEEKDAY(V197)</f>
        <v>7</v>
      </c>
      <c r="AD197" s="61">
        <f t="shared" si="162"/>
        <v>45668</v>
      </c>
      <c r="AE197">
        <f t="shared" si="227"/>
        <v>105</v>
      </c>
      <c r="AF197">
        <f t="shared" si="228"/>
        <v>105</v>
      </c>
      <c r="AG197">
        <f t="shared" si="229"/>
        <v>97</v>
      </c>
      <c r="AH197">
        <f t="shared" si="230"/>
        <v>97</v>
      </c>
      <c r="AI197">
        <f t="shared" si="231"/>
        <v>97</v>
      </c>
      <c r="AJ197"/>
    </row>
    <row r="198" spans="15:36" x14ac:dyDescent="0.25">
      <c r="O198" s="61">
        <f t="shared" ref="O198:O261" si="236">O197+1</f>
        <v>45669</v>
      </c>
      <c r="P198" s="124">
        <f t="shared" si="232"/>
        <v>1</v>
      </c>
      <c r="Q198" s="180" t="str">
        <f t="shared" si="220"/>
        <v/>
      </c>
      <c r="R198" s="180" t="str">
        <f t="shared" si="220"/>
        <v/>
      </c>
      <c r="S198" s="180" t="str">
        <f t="shared" si="220"/>
        <v/>
      </c>
      <c r="T198" s="180" t="str">
        <f t="shared" si="220"/>
        <v/>
      </c>
      <c r="U198" s="180" t="str">
        <f t="shared" si="220"/>
        <v/>
      </c>
      <c r="V198" s="61">
        <f t="shared" si="233"/>
        <v>45669</v>
      </c>
      <c r="W198" s="124">
        <f t="shared" ref="W198" si="237">WEEKDAY(V198)</f>
        <v>1</v>
      </c>
      <c r="AD198" s="61">
        <f t="shared" ref="AD198:AD261" si="238">AD197+1</f>
        <v>45669</v>
      </c>
      <c r="AE198">
        <f t="shared" si="227"/>
        <v>105</v>
      </c>
      <c r="AF198">
        <f t="shared" si="228"/>
        <v>105</v>
      </c>
      <c r="AG198">
        <f t="shared" si="229"/>
        <v>97</v>
      </c>
      <c r="AH198">
        <f t="shared" si="230"/>
        <v>97</v>
      </c>
      <c r="AI198">
        <f t="shared" si="231"/>
        <v>97</v>
      </c>
      <c r="AJ198"/>
    </row>
    <row r="199" spans="15:36" x14ac:dyDescent="0.25">
      <c r="O199" s="61">
        <f t="shared" si="236"/>
        <v>45670</v>
      </c>
      <c r="P199" s="124">
        <f t="shared" si="232"/>
        <v>2</v>
      </c>
      <c r="Q199" s="180">
        <f t="shared" si="220"/>
        <v>1</v>
      </c>
      <c r="R199" s="180">
        <f t="shared" si="220"/>
        <v>1</v>
      </c>
      <c r="S199" s="180">
        <f t="shared" si="220"/>
        <v>1</v>
      </c>
      <c r="T199" s="180">
        <f t="shared" si="220"/>
        <v>1</v>
      </c>
      <c r="U199" s="180">
        <f t="shared" si="220"/>
        <v>1</v>
      </c>
      <c r="V199" s="61">
        <f t="shared" si="233"/>
        <v>45670</v>
      </c>
      <c r="W199" s="124">
        <f t="shared" ref="W199" si="239">WEEKDAY(V199)</f>
        <v>2</v>
      </c>
      <c r="AC199" t="s">
        <v>199</v>
      </c>
      <c r="AD199" s="61">
        <f t="shared" si="238"/>
        <v>45670</v>
      </c>
      <c r="AE199">
        <f t="shared" si="227"/>
        <v>104</v>
      </c>
      <c r="AF199">
        <f t="shared" si="228"/>
        <v>104</v>
      </c>
      <c r="AG199">
        <f t="shared" si="229"/>
        <v>96</v>
      </c>
      <c r="AH199">
        <f t="shared" si="230"/>
        <v>96</v>
      </c>
      <c r="AI199">
        <f t="shared" si="231"/>
        <v>96</v>
      </c>
      <c r="AJ199"/>
    </row>
    <row r="200" spans="15:36" x14ac:dyDescent="0.25">
      <c r="O200" s="61">
        <f t="shared" si="236"/>
        <v>45671</v>
      </c>
      <c r="P200" s="124">
        <f t="shared" si="232"/>
        <v>3</v>
      </c>
      <c r="Q200" s="180">
        <f t="shared" si="220"/>
        <v>1</v>
      </c>
      <c r="R200" s="180">
        <f t="shared" si="220"/>
        <v>1</v>
      </c>
      <c r="S200" s="180">
        <f t="shared" si="220"/>
        <v>1</v>
      </c>
      <c r="T200" s="180">
        <f t="shared" si="220"/>
        <v>1</v>
      </c>
      <c r="U200" s="180">
        <f t="shared" si="220"/>
        <v>1</v>
      </c>
      <c r="V200" s="61">
        <f t="shared" si="233"/>
        <v>45671</v>
      </c>
      <c r="W200" s="124">
        <f t="shared" ref="W200" si="240">WEEKDAY(V200)</f>
        <v>3</v>
      </c>
      <c r="AC200" t="s">
        <v>198</v>
      </c>
      <c r="AD200" s="61">
        <f t="shared" si="238"/>
        <v>45671</v>
      </c>
      <c r="AE200">
        <f t="shared" si="227"/>
        <v>103</v>
      </c>
      <c r="AF200">
        <f t="shared" si="228"/>
        <v>103</v>
      </c>
      <c r="AG200">
        <f t="shared" si="229"/>
        <v>95</v>
      </c>
      <c r="AH200">
        <f t="shared" si="230"/>
        <v>95</v>
      </c>
      <c r="AI200">
        <f t="shared" si="231"/>
        <v>95</v>
      </c>
      <c r="AJ200"/>
    </row>
    <row r="201" spans="15:36" x14ac:dyDescent="0.25">
      <c r="O201" s="61">
        <f t="shared" si="236"/>
        <v>45672</v>
      </c>
      <c r="P201" s="124">
        <f t="shared" si="232"/>
        <v>4</v>
      </c>
      <c r="Q201" s="180">
        <v>1</v>
      </c>
      <c r="R201" s="180">
        <v>1</v>
      </c>
      <c r="S201" s="180">
        <v>1</v>
      </c>
      <c r="T201" s="180">
        <v>1</v>
      </c>
      <c r="U201" s="180">
        <v>1</v>
      </c>
      <c r="V201" s="61">
        <f t="shared" si="233"/>
        <v>45672</v>
      </c>
      <c r="W201" s="124">
        <f t="shared" ref="W201" si="241">WEEKDAY(V201)</f>
        <v>4</v>
      </c>
      <c r="AC201" t="s">
        <v>199</v>
      </c>
      <c r="AD201" s="61">
        <f t="shared" si="238"/>
        <v>45672</v>
      </c>
      <c r="AE201">
        <f t="shared" si="227"/>
        <v>102</v>
      </c>
      <c r="AF201">
        <f t="shared" si="228"/>
        <v>102</v>
      </c>
      <c r="AG201">
        <f t="shared" si="229"/>
        <v>94</v>
      </c>
      <c r="AH201">
        <f t="shared" si="230"/>
        <v>94</v>
      </c>
      <c r="AI201">
        <f t="shared" si="231"/>
        <v>94</v>
      </c>
      <c r="AJ201"/>
    </row>
    <row r="202" spans="15:36" x14ac:dyDescent="0.25">
      <c r="O202" s="61">
        <f t="shared" si="236"/>
        <v>45673</v>
      </c>
      <c r="P202" s="124">
        <f t="shared" si="232"/>
        <v>5</v>
      </c>
      <c r="Q202" s="180">
        <v>1</v>
      </c>
      <c r="R202" s="180">
        <f t="shared" si="220"/>
        <v>1</v>
      </c>
      <c r="S202" s="180">
        <v>1</v>
      </c>
      <c r="T202" s="180">
        <v>1</v>
      </c>
      <c r="U202" s="180">
        <v>1</v>
      </c>
      <c r="V202" s="61">
        <f t="shared" si="233"/>
        <v>45673</v>
      </c>
      <c r="W202" s="124">
        <f t="shared" ref="W202" si="242">WEEKDAY(V202)</f>
        <v>5</v>
      </c>
      <c r="AC202" t="s">
        <v>198</v>
      </c>
      <c r="AD202" s="61">
        <f t="shared" si="238"/>
        <v>45673</v>
      </c>
      <c r="AE202">
        <f t="shared" si="227"/>
        <v>101</v>
      </c>
      <c r="AF202">
        <f t="shared" si="228"/>
        <v>101</v>
      </c>
      <c r="AG202">
        <f t="shared" si="229"/>
        <v>93</v>
      </c>
      <c r="AH202">
        <f t="shared" si="230"/>
        <v>93</v>
      </c>
      <c r="AI202">
        <f t="shared" si="231"/>
        <v>93</v>
      </c>
      <c r="AJ202"/>
    </row>
    <row r="203" spans="15:36" x14ac:dyDescent="0.25">
      <c r="O203" s="61">
        <f t="shared" si="236"/>
        <v>45674</v>
      </c>
      <c r="P203" s="124">
        <f t="shared" si="232"/>
        <v>6</v>
      </c>
      <c r="Q203" s="180">
        <f t="shared" si="220"/>
        <v>1</v>
      </c>
      <c r="R203" s="180">
        <f t="shared" si="220"/>
        <v>1</v>
      </c>
      <c r="S203" s="180">
        <f t="shared" si="220"/>
        <v>1</v>
      </c>
      <c r="T203" s="180">
        <f t="shared" si="220"/>
        <v>1</v>
      </c>
      <c r="U203" s="180">
        <f t="shared" si="220"/>
        <v>1</v>
      </c>
      <c r="V203" s="61">
        <f t="shared" si="233"/>
        <v>45674</v>
      </c>
      <c r="W203" s="124">
        <f t="shared" ref="W203" si="243">WEEKDAY(V203)</f>
        <v>6</v>
      </c>
      <c r="AC203" t="s">
        <v>199</v>
      </c>
      <c r="AD203" s="61">
        <f t="shared" si="238"/>
        <v>45674</v>
      </c>
      <c r="AE203">
        <f t="shared" si="227"/>
        <v>100</v>
      </c>
      <c r="AF203">
        <f t="shared" si="228"/>
        <v>100</v>
      </c>
      <c r="AG203">
        <f t="shared" si="229"/>
        <v>92</v>
      </c>
      <c r="AH203">
        <f t="shared" si="230"/>
        <v>92</v>
      </c>
      <c r="AI203">
        <f t="shared" si="231"/>
        <v>92</v>
      </c>
      <c r="AJ203"/>
    </row>
    <row r="204" spans="15:36" x14ac:dyDescent="0.25">
      <c r="O204" s="61">
        <f t="shared" si="236"/>
        <v>45675</v>
      </c>
      <c r="P204" s="124">
        <f t="shared" si="232"/>
        <v>7</v>
      </c>
      <c r="Q204" s="180" t="str">
        <f t="shared" si="220"/>
        <v/>
      </c>
      <c r="R204" s="180" t="str">
        <f t="shared" si="220"/>
        <v/>
      </c>
      <c r="S204" s="180" t="str">
        <f t="shared" si="220"/>
        <v/>
      </c>
      <c r="T204" s="180" t="str">
        <f t="shared" si="220"/>
        <v/>
      </c>
      <c r="U204" s="180" t="str">
        <f t="shared" si="220"/>
        <v/>
      </c>
      <c r="V204" s="61">
        <f t="shared" si="233"/>
        <v>45675</v>
      </c>
      <c r="W204" s="124">
        <f t="shared" ref="W204" si="244">WEEKDAY(V204)</f>
        <v>7</v>
      </c>
      <c r="AD204" s="61">
        <f t="shared" si="238"/>
        <v>45675</v>
      </c>
      <c r="AE204">
        <f t="shared" si="227"/>
        <v>100</v>
      </c>
      <c r="AF204">
        <f t="shared" si="228"/>
        <v>100</v>
      </c>
      <c r="AG204">
        <f t="shared" si="229"/>
        <v>92</v>
      </c>
      <c r="AH204">
        <f t="shared" si="230"/>
        <v>92</v>
      </c>
      <c r="AI204">
        <f t="shared" si="231"/>
        <v>92</v>
      </c>
      <c r="AJ204"/>
    </row>
    <row r="205" spans="15:36" x14ac:dyDescent="0.25">
      <c r="O205" s="61">
        <f t="shared" si="236"/>
        <v>45676</v>
      </c>
      <c r="P205" s="124">
        <f t="shared" si="232"/>
        <v>1</v>
      </c>
      <c r="Q205" s="180" t="str">
        <f t="shared" si="220"/>
        <v/>
      </c>
      <c r="R205" s="180" t="str">
        <f t="shared" si="220"/>
        <v/>
      </c>
      <c r="S205" s="180" t="str">
        <f t="shared" si="220"/>
        <v/>
      </c>
      <c r="T205" s="180" t="str">
        <f t="shared" si="220"/>
        <v/>
      </c>
      <c r="U205" s="180" t="str">
        <f t="shared" si="220"/>
        <v/>
      </c>
      <c r="V205" s="61">
        <f t="shared" si="233"/>
        <v>45676</v>
      </c>
      <c r="W205" s="124">
        <f t="shared" ref="W205" si="245">WEEKDAY(V205)</f>
        <v>1</v>
      </c>
      <c r="AD205" s="61">
        <f t="shared" si="238"/>
        <v>45676</v>
      </c>
      <c r="AE205">
        <f t="shared" si="227"/>
        <v>100</v>
      </c>
      <c r="AF205">
        <f t="shared" si="228"/>
        <v>100</v>
      </c>
      <c r="AG205">
        <f t="shared" si="229"/>
        <v>92</v>
      </c>
      <c r="AH205">
        <f t="shared" si="230"/>
        <v>92</v>
      </c>
      <c r="AI205">
        <f t="shared" si="231"/>
        <v>92</v>
      </c>
      <c r="AJ205"/>
    </row>
    <row r="206" spans="15:36" x14ac:dyDescent="0.25">
      <c r="O206" s="61">
        <f t="shared" si="236"/>
        <v>45677</v>
      </c>
      <c r="P206" s="124">
        <f t="shared" si="232"/>
        <v>2</v>
      </c>
      <c r="Q206" s="180" t="s">
        <v>177</v>
      </c>
      <c r="R206" s="180" t="s">
        <v>177</v>
      </c>
      <c r="S206" s="180" t="s">
        <v>177</v>
      </c>
      <c r="T206" s="180" t="s">
        <v>177</v>
      </c>
      <c r="U206" s="180" t="s">
        <v>177</v>
      </c>
      <c r="V206" s="61">
        <f t="shared" si="233"/>
        <v>45677</v>
      </c>
      <c r="W206" s="124">
        <f t="shared" ref="W206" si="246">WEEKDAY(V206)</f>
        <v>2</v>
      </c>
      <c r="AD206" s="61">
        <f t="shared" si="238"/>
        <v>45677</v>
      </c>
      <c r="AE206">
        <f t="shared" si="227"/>
        <v>100</v>
      </c>
      <c r="AF206">
        <f t="shared" si="228"/>
        <v>100</v>
      </c>
      <c r="AG206">
        <f t="shared" si="229"/>
        <v>92</v>
      </c>
      <c r="AH206">
        <f t="shared" si="230"/>
        <v>92</v>
      </c>
      <c r="AI206">
        <f t="shared" si="231"/>
        <v>92</v>
      </c>
      <c r="AJ206"/>
    </row>
    <row r="207" spans="15:36" x14ac:dyDescent="0.25">
      <c r="O207" s="61">
        <f t="shared" si="236"/>
        <v>45678</v>
      </c>
      <c r="P207" s="124">
        <f t="shared" si="232"/>
        <v>3</v>
      </c>
      <c r="Q207" s="180" t="s">
        <v>155</v>
      </c>
      <c r="R207" s="180" t="s">
        <v>155</v>
      </c>
      <c r="S207" s="180" t="s">
        <v>155</v>
      </c>
      <c r="T207" s="180" t="s">
        <v>155</v>
      </c>
      <c r="U207" s="180" t="s">
        <v>155</v>
      </c>
      <c r="V207" s="61">
        <f t="shared" si="233"/>
        <v>45678</v>
      </c>
      <c r="W207" s="124">
        <f t="shared" ref="W207" si="247">WEEKDAY(V207)</f>
        <v>3</v>
      </c>
      <c r="X207" t="s">
        <v>479</v>
      </c>
      <c r="Y207" t="s">
        <v>479</v>
      </c>
      <c r="Z207" t="s">
        <v>479</v>
      </c>
      <c r="AA207" t="s">
        <v>479</v>
      </c>
      <c r="AB207" t="s">
        <v>479</v>
      </c>
      <c r="AD207" s="61">
        <f t="shared" si="238"/>
        <v>45678</v>
      </c>
      <c r="AE207">
        <f t="shared" si="227"/>
        <v>100</v>
      </c>
      <c r="AF207">
        <f t="shared" si="228"/>
        <v>100</v>
      </c>
      <c r="AG207">
        <f t="shared" si="229"/>
        <v>92</v>
      </c>
      <c r="AH207">
        <f t="shared" si="230"/>
        <v>92</v>
      </c>
      <c r="AI207">
        <f t="shared" si="231"/>
        <v>92</v>
      </c>
      <c r="AJ207"/>
    </row>
    <row r="208" spans="15:36" x14ac:dyDescent="0.25">
      <c r="O208" s="61">
        <f t="shared" si="236"/>
        <v>45679</v>
      </c>
      <c r="P208" s="124">
        <f t="shared" si="232"/>
        <v>4</v>
      </c>
      <c r="Q208" s="180">
        <f t="shared" si="220"/>
        <v>1</v>
      </c>
      <c r="R208" s="180">
        <f t="shared" si="220"/>
        <v>1</v>
      </c>
      <c r="S208" s="180">
        <f t="shared" si="220"/>
        <v>1</v>
      </c>
      <c r="T208" s="180">
        <f t="shared" si="220"/>
        <v>1</v>
      </c>
      <c r="U208" s="180">
        <f t="shared" si="220"/>
        <v>1</v>
      </c>
      <c r="V208" s="61">
        <f t="shared" si="233"/>
        <v>45679</v>
      </c>
      <c r="W208" s="124">
        <f t="shared" ref="W208" si="248">WEEKDAY(V208)</f>
        <v>4</v>
      </c>
      <c r="AC208" t="s">
        <v>198</v>
      </c>
      <c r="AD208" s="61">
        <f t="shared" si="238"/>
        <v>45679</v>
      </c>
      <c r="AE208">
        <f t="shared" si="227"/>
        <v>99</v>
      </c>
      <c r="AF208">
        <f t="shared" si="228"/>
        <v>99</v>
      </c>
      <c r="AG208">
        <f t="shared" si="229"/>
        <v>91</v>
      </c>
      <c r="AH208">
        <f t="shared" si="230"/>
        <v>91</v>
      </c>
      <c r="AI208">
        <f t="shared" si="231"/>
        <v>91</v>
      </c>
      <c r="AJ208"/>
    </row>
    <row r="209" spans="15:36" x14ac:dyDescent="0.25">
      <c r="O209" s="61">
        <f t="shared" si="236"/>
        <v>45680</v>
      </c>
      <c r="P209" s="124">
        <f t="shared" si="232"/>
        <v>5</v>
      </c>
      <c r="Q209" s="180">
        <f t="shared" si="220"/>
        <v>1</v>
      </c>
      <c r="R209" s="180">
        <f t="shared" si="220"/>
        <v>1</v>
      </c>
      <c r="S209" s="180">
        <f t="shared" si="220"/>
        <v>1</v>
      </c>
      <c r="T209" s="180">
        <f t="shared" si="220"/>
        <v>1</v>
      </c>
      <c r="U209" s="180">
        <f t="shared" si="220"/>
        <v>1</v>
      </c>
      <c r="V209" s="61">
        <f t="shared" si="233"/>
        <v>45680</v>
      </c>
      <c r="W209" s="124">
        <f t="shared" ref="W209" si="249">WEEKDAY(V209)</f>
        <v>5</v>
      </c>
      <c r="AC209" t="s">
        <v>199</v>
      </c>
      <c r="AD209" s="61">
        <f t="shared" si="238"/>
        <v>45680</v>
      </c>
      <c r="AE209">
        <f t="shared" si="227"/>
        <v>98</v>
      </c>
      <c r="AF209">
        <f t="shared" si="228"/>
        <v>98</v>
      </c>
      <c r="AG209">
        <f t="shared" si="229"/>
        <v>90</v>
      </c>
      <c r="AH209">
        <f t="shared" si="230"/>
        <v>90</v>
      </c>
      <c r="AI209">
        <f t="shared" si="231"/>
        <v>90</v>
      </c>
      <c r="AJ209"/>
    </row>
    <row r="210" spans="15:36" x14ac:dyDescent="0.25">
      <c r="O210" s="61">
        <f t="shared" si="236"/>
        <v>45681</v>
      </c>
      <c r="P210" s="124">
        <f t="shared" si="232"/>
        <v>6</v>
      </c>
      <c r="Q210" s="180">
        <f t="shared" si="220"/>
        <v>1</v>
      </c>
      <c r="R210" s="180">
        <f t="shared" si="220"/>
        <v>1</v>
      </c>
      <c r="S210" s="180">
        <f t="shared" si="220"/>
        <v>1</v>
      </c>
      <c r="T210" s="180">
        <f t="shared" si="220"/>
        <v>1</v>
      </c>
      <c r="U210" s="180">
        <f t="shared" si="220"/>
        <v>1</v>
      </c>
      <c r="V210" s="61">
        <f t="shared" si="233"/>
        <v>45681</v>
      </c>
      <c r="W210" s="124">
        <f t="shared" ref="W210" si="250">WEEKDAY(V210)</f>
        <v>6</v>
      </c>
      <c r="AC210" t="s">
        <v>198</v>
      </c>
      <c r="AD210" s="61">
        <f t="shared" si="238"/>
        <v>45681</v>
      </c>
      <c r="AE210">
        <f t="shared" si="227"/>
        <v>97</v>
      </c>
      <c r="AF210">
        <f t="shared" si="228"/>
        <v>97</v>
      </c>
      <c r="AG210">
        <f t="shared" si="229"/>
        <v>89</v>
      </c>
      <c r="AH210">
        <f t="shared" si="230"/>
        <v>89</v>
      </c>
      <c r="AI210">
        <f t="shared" si="231"/>
        <v>89</v>
      </c>
      <c r="AJ210"/>
    </row>
    <row r="211" spans="15:36" x14ac:dyDescent="0.25">
      <c r="O211" s="61">
        <f t="shared" si="236"/>
        <v>45682</v>
      </c>
      <c r="P211" s="124">
        <f t="shared" si="232"/>
        <v>7</v>
      </c>
      <c r="Q211" s="180" t="str">
        <f t="shared" si="220"/>
        <v/>
      </c>
      <c r="R211" s="180" t="str">
        <f t="shared" si="220"/>
        <v/>
      </c>
      <c r="S211" s="180" t="str">
        <f t="shared" si="220"/>
        <v/>
      </c>
      <c r="T211" s="180" t="str">
        <f t="shared" si="220"/>
        <v/>
      </c>
      <c r="U211" s="180" t="str">
        <f t="shared" si="220"/>
        <v/>
      </c>
      <c r="V211" s="61">
        <f t="shared" si="233"/>
        <v>45682</v>
      </c>
      <c r="W211" s="124">
        <f t="shared" ref="W211" si="251">WEEKDAY(V211)</f>
        <v>7</v>
      </c>
      <c r="AD211" s="61">
        <f t="shared" si="238"/>
        <v>45682</v>
      </c>
      <c r="AE211">
        <f t="shared" si="227"/>
        <v>97</v>
      </c>
      <c r="AF211">
        <f t="shared" si="228"/>
        <v>97</v>
      </c>
      <c r="AG211">
        <f t="shared" si="229"/>
        <v>89</v>
      </c>
      <c r="AH211">
        <f t="shared" si="230"/>
        <v>89</v>
      </c>
      <c r="AI211">
        <f t="shared" si="231"/>
        <v>89</v>
      </c>
      <c r="AJ211"/>
    </row>
    <row r="212" spans="15:36" x14ac:dyDescent="0.25">
      <c r="O212" s="61">
        <f t="shared" si="236"/>
        <v>45683</v>
      </c>
      <c r="P212" s="124">
        <f t="shared" si="232"/>
        <v>1</v>
      </c>
      <c r="Q212" s="180" t="str">
        <f t="shared" si="220"/>
        <v/>
      </c>
      <c r="R212" s="180" t="str">
        <f t="shared" si="220"/>
        <v/>
      </c>
      <c r="S212" s="180" t="str">
        <f t="shared" si="220"/>
        <v/>
      </c>
      <c r="T212" s="180" t="str">
        <f t="shared" si="220"/>
        <v/>
      </c>
      <c r="U212" s="180" t="str">
        <f t="shared" si="220"/>
        <v/>
      </c>
      <c r="V212" s="61">
        <f t="shared" si="233"/>
        <v>45683</v>
      </c>
      <c r="W212" s="124">
        <f t="shared" ref="W212" si="252">WEEKDAY(V212)</f>
        <v>1</v>
      </c>
      <c r="AD212" s="61">
        <f t="shared" si="238"/>
        <v>45683</v>
      </c>
      <c r="AE212">
        <f t="shared" si="227"/>
        <v>97</v>
      </c>
      <c r="AF212">
        <f t="shared" si="228"/>
        <v>97</v>
      </c>
      <c r="AG212">
        <f t="shared" si="229"/>
        <v>89</v>
      </c>
      <c r="AH212">
        <f t="shared" si="230"/>
        <v>89</v>
      </c>
      <c r="AI212">
        <f t="shared" si="231"/>
        <v>89</v>
      </c>
      <c r="AJ212"/>
    </row>
    <row r="213" spans="15:36" x14ac:dyDescent="0.25">
      <c r="O213" s="61">
        <f t="shared" si="236"/>
        <v>45684</v>
      </c>
      <c r="P213" s="124">
        <f t="shared" si="232"/>
        <v>2</v>
      </c>
      <c r="Q213" s="180">
        <f t="shared" si="220"/>
        <v>1</v>
      </c>
      <c r="R213" s="180">
        <f t="shared" si="220"/>
        <v>1</v>
      </c>
      <c r="S213" s="180">
        <f t="shared" si="220"/>
        <v>1</v>
      </c>
      <c r="T213" s="180">
        <f t="shared" si="220"/>
        <v>1</v>
      </c>
      <c r="U213" s="180">
        <f t="shared" si="220"/>
        <v>1</v>
      </c>
      <c r="V213" s="61">
        <f t="shared" si="233"/>
        <v>45684</v>
      </c>
      <c r="W213" s="124">
        <f t="shared" ref="W213" si="253">WEEKDAY(V213)</f>
        <v>2</v>
      </c>
      <c r="AC213" t="s">
        <v>199</v>
      </c>
      <c r="AD213" s="61">
        <f t="shared" si="238"/>
        <v>45684</v>
      </c>
      <c r="AE213">
        <f t="shared" si="227"/>
        <v>96</v>
      </c>
      <c r="AF213">
        <f t="shared" si="228"/>
        <v>96</v>
      </c>
      <c r="AG213">
        <f t="shared" si="229"/>
        <v>88</v>
      </c>
      <c r="AH213">
        <f t="shared" si="230"/>
        <v>88</v>
      </c>
      <c r="AI213">
        <f t="shared" si="231"/>
        <v>88</v>
      </c>
      <c r="AJ213"/>
    </row>
    <row r="214" spans="15:36" x14ac:dyDescent="0.25">
      <c r="O214" s="61">
        <f t="shared" si="236"/>
        <v>45685</v>
      </c>
      <c r="P214" s="124">
        <f t="shared" si="232"/>
        <v>3</v>
      </c>
      <c r="Q214" s="180">
        <f t="shared" si="220"/>
        <v>1</v>
      </c>
      <c r="R214" s="180">
        <f t="shared" si="220"/>
        <v>1</v>
      </c>
      <c r="S214" s="180">
        <f t="shared" si="220"/>
        <v>1</v>
      </c>
      <c r="T214" s="180">
        <f t="shared" si="220"/>
        <v>1</v>
      </c>
      <c r="U214" s="180">
        <f t="shared" si="220"/>
        <v>1</v>
      </c>
      <c r="V214" s="61">
        <f t="shared" si="233"/>
        <v>45685</v>
      </c>
      <c r="W214" s="124">
        <f t="shared" ref="W214" si="254">WEEKDAY(V214)</f>
        <v>3</v>
      </c>
      <c r="AC214" t="s">
        <v>198</v>
      </c>
      <c r="AD214" s="61">
        <f t="shared" si="238"/>
        <v>45685</v>
      </c>
      <c r="AE214">
        <f t="shared" si="227"/>
        <v>95</v>
      </c>
      <c r="AF214">
        <f t="shared" si="228"/>
        <v>95</v>
      </c>
      <c r="AG214">
        <f t="shared" si="229"/>
        <v>87</v>
      </c>
      <c r="AH214">
        <f t="shared" si="230"/>
        <v>87</v>
      </c>
      <c r="AI214">
        <f t="shared" si="231"/>
        <v>87</v>
      </c>
      <c r="AJ214"/>
    </row>
    <row r="215" spans="15:36" x14ac:dyDescent="0.25">
      <c r="O215" s="61">
        <f t="shared" si="236"/>
        <v>45686</v>
      </c>
      <c r="P215" s="124">
        <f t="shared" si="232"/>
        <v>4</v>
      </c>
      <c r="Q215" s="180">
        <f t="shared" si="220"/>
        <v>1</v>
      </c>
      <c r="R215" s="180">
        <f t="shared" si="220"/>
        <v>1</v>
      </c>
      <c r="S215" s="180">
        <f t="shared" si="220"/>
        <v>1</v>
      </c>
      <c r="T215" s="180">
        <f t="shared" si="220"/>
        <v>1</v>
      </c>
      <c r="U215" s="180">
        <f t="shared" si="220"/>
        <v>1</v>
      </c>
      <c r="V215" s="61">
        <f t="shared" si="233"/>
        <v>45686</v>
      </c>
      <c r="W215" s="124">
        <f t="shared" ref="W215" si="255">WEEKDAY(V215)</f>
        <v>4</v>
      </c>
      <c r="AC215" t="s">
        <v>199</v>
      </c>
      <c r="AD215" s="61">
        <f t="shared" si="238"/>
        <v>45686</v>
      </c>
      <c r="AE215">
        <f t="shared" si="227"/>
        <v>94</v>
      </c>
      <c r="AF215">
        <f t="shared" si="228"/>
        <v>94</v>
      </c>
      <c r="AG215">
        <f t="shared" si="229"/>
        <v>86</v>
      </c>
      <c r="AH215">
        <f t="shared" si="230"/>
        <v>86</v>
      </c>
      <c r="AI215">
        <f t="shared" si="231"/>
        <v>86</v>
      </c>
      <c r="AJ215"/>
    </row>
    <row r="216" spans="15:36" x14ac:dyDescent="0.25">
      <c r="O216" s="61">
        <f t="shared" si="236"/>
        <v>45687</v>
      </c>
      <c r="P216" s="124">
        <f t="shared" si="232"/>
        <v>5</v>
      </c>
      <c r="Q216" s="180">
        <f t="shared" si="220"/>
        <v>1</v>
      </c>
      <c r="R216" s="180">
        <f t="shared" si="220"/>
        <v>1</v>
      </c>
      <c r="S216" s="180">
        <f t="shared" si="220"/>
        <v>1</v>
      </c>
      <c r="T216" s="180">
        <f t="shared" si="220"/>
        <v>1</v>
      </c>
      <c r="U216" s="180">
        <f t="shared" si="220"/>
        <v>1</v>
      </c>
      <c r="V216" s="61">
        <f t="shared" si="233"/>
        <v>45687</v>
      </c>
      <c r="W216" s="124">
        <f t="shared" ref="W216" si="256">WEEKDAY(V216)</f>
        <v>5</v>
      </c>
      <c r="AC216" t="s">
        <v>198</v>
      </c>
      <c r="AD216" s="61">
        <f t="shared" si="238"/>
        <v>45687</v>
      </c>
      <c r="AE216">
        <f t="shared" si="227"/>
        <v>93</v>
      </c>
      <c r="AF216">
        <f t="shared" si="228"/>
        <v>93</v>
      </c>
      <c r="AG216">
        <f t="shared" si="229"/>
        <v>85</v>
      </c>
      <c r="AH216">
        <f t="shared" si="230"/>
        <v>85</v>
      </c>
      <c r="AI216">
        <f t="shared" si="231"/>
        <v>85</v>
      </c>
      <c r="AJ216"/>
    </row>
    <row r="217" spans="15:36" x14ac:dyDescent="0.25">
      <c r="O217" s="61">
        <f t="shared" si="236"/>
        <v>45688</v>
      </c>
      <c r="P217" s="124">
        <f t="shared" si="232"/>
        <v>6</v>
      </c>
      <c r="Q217" s="180">
        <f t="shared" si="220"/>
        <v>1</v>
      </c>
      <c r="R217" s="180">
        <f t="shared" si="220"/>
        <v>1</v>
      </c>
      <c r="S217" s="180">
        <f t="shared" si="220"/>
        <v>1</v>
      </c>
      <c r="T217" s="180">
        <f t="shared" si="220"/>
        <v>1</v>
      </c>
      <c r="U217" s="180">
        <f t="shared" si="220"/>
        <v>1</v>
      </c>
      <c r="V217" s="61">
        <f t="shared" si="233"/>
        <v>45688</v>
      </c>
      <c r="W217" s="124">
        <f t="shared" ref="W217" si="257">WEEKDAY(V217)</f>
        <v>6</v>
      </c>
      <c r="AC217" t="s">
        <v>199</v>
      </c>
      <c r="AD217" s="61">
        <f t="shared" si="238"/>
        <v>45688</v>
      </c>
      <c r="AE217">
        <f t="shared" si="227"/>
        <v>92</v>
      </c>
      <c r="AF217">
        <f t="shared" si="228"/>
        <v>92</v>
      </c>
      <c r="AG217">
        <f t="shared" si="229"/>
        <v>84</v>
      </c>
      <c r="AH217">
        <f t="shared" si="230"/>
        <v>84</v>
      </c>
      <c r="AI217">
        <f t="shared" si="231"/>
        <v>84</v>
      </c>
      <c r="AJ217"/>
    </row>
    <row r="218" spans="15:36" x14ac:dyDescent="0.25">
      <c r="O218" s="61">
        <f t="shared" si="236"/>
        <v>45689</v>
      </c>
      <c r="P218" s="124">
        <f t="shared" si="232"/>
        <v>7</v>
      </c>
      <c r="Q218" s="180" t="str">
        <f t="shared" si="220"/>
        <v/>
      </c>
      <c r="R218" s="180" t="str">
        <f t="shared" si="220"/>
        <v/>
      </c>
      <c r="S218" s="180" t="str">
        <f t="shared" si="220"/>
        <v/>
      </c>
      <c r="T218" s="180" t="str">
        <f t="shared" si="220"/>
        <v/>
      </c>
      <c r="U218" s="180" t="str">
        <f t="shared" si="220"/>
        <v/>
      </c>
      <c r="V218" s="61">
        <f t="shared" si="233"/>
        <v>45689</v>
      </c>
      <c r="W218" s="124">
        <f t="shared" ref="W218" si="258">WEEKDAY(V218)</f>
        <v>7</v>
      </c>
      <c r="AD218" s="61">
        <f t="shared" si="238"/>
        <v>45689</v>
      </c>
      <c r="AE218">
        <f t="shared" si="227"/>
        <v>92</v>
      </c>
      <c r="AF218">
        <f t="shared" si="228"/>
        <v>92</v>
      </c>
      <c r="AG218">
        <f t="shared" si="229"/>
        <v>84</v>
      </c>
      <c r="AH218">
        <f t="shared" si="230"/>
        <v>84</v>
      </c>
      <c r="AI218">
        <f t="shared" si="231"/>
        <v>84</v>
      </c>
      <c r="AJ218"/>
    </row>
    <row r="219" spans="15:36" x14ac:dyDescent="0.25">
      <c r="O219" s="61">
        <f t="shared" si="236"/>
        <v>45690</v>
      </c>
      <c r="P219" s="124">
        <f t="shared" si="232"/>
        <v>1</v>
      </c>
      <c r="Q219" s="180" t="str">
        <f t="shared" si="220"/>
        <v/>
      </c>
      <c r="R219" s="180" t="str">
        <f t="shared" si="220"/>
        <v/>
      </c>
      <c r="S219" s="180" t="str">
        <f t="shared" si="220"/>
        <v/>
      </c>
      <c r="T219" s="180" t="str">
        <f t="shared" si="220"/>
        <v/>
      </c>
      <c r="U219" s="180" t="str">
        <f t="shared" si="220"/>
        <v/>
      </c>
      <c r="V219" s="61">
        <f t="shared" si="233"/>
        <v>45690</v>
      </c>
      <c r="W219" s="124">
        <f t="shared" ref="W219" si="259">WEEKDAY(V219)</f>
        <v>1</v>
      </c>
      <c r="AD219" s="61">
        <f t="shared" si="238"/>
        <v>45690</v>
      </c>
      <c r="AE219">
        <f t="shared" si="227"/>
        <v>92</v>
      </c>
      <c r="AF219">
        <f t="shared" si="228"/>
        <v>92</v>
      </c>
      <c r="AG219">
        <f t="shared" si="229"/>
        <v>84</v>
      </c>
      <c r="AH219">
        <f t="shared" si="230"/>
        <v>84</v>
      </c>
      <c r="AI219">
        <f t="shared" si="231"/>
        <v>84</v>
      </c>
      <c r="AJ219"/>
    </row>
    <row r="220" spans="15:36" x14ac:dyDescent="0.25">
      <c r="O220" s="61">
        <f t="shared" si="236"/>
        <v>45691</v>
      </c>
      <c r="P220" s="124">
        <f t="shared" si="232"/>
        <v>2</v>
      </c>
      <c r="Q220" s="180">
        <f t="shared" si="220"/>
        <v>1</v>
      </c>
      <c r="R220" s="180">
        <f t="shared" si="220"/>
        <v>1</v>
      </c>
      <c r="S220" s="180">
        <f t="shared" si="220"/>
        <v>1</v>
      </c>
      <c r="T220" s="180">
        <f t="shared" si="220"/>
        <v>1</v>
      </c>
      <c r="U220" s="180">
        <f t="shared" si="220"/>
        <v>1</v>
      </c>
      <c r="V220" s="61">
        <f t="shared" si="233"/>
        <v>45691</v>
      </c>
      <c r="W220" s="124">
        <f t="shared" ref="W220" si="260">WEEKDAY(V220)</f>
        <v>2</v>
      </c>
      <c r="AC220" t="s">
        <v>198</v>
      </c>
      <c r="AD220" s="61">
        <f t="shared" si="238"/>
        <v>45691</v>
      </c>
      <c r="AE220">
        <f t="shared" si="227"/>
        <v>91</v>
      </c>
      <c r="AF220">
        <f t="shared" si="228"/>
        <v>91</v>
      </c>
      <c r="AG220">
        <f t="shared" si="229"/>
        <v>83</v>
      </c>
      <c r="AH220">
        <f t="shared" si="230"/>
        <v>83</v>
      </c>
      <c r="AI220">
        <f t="shared" si="231"/>
        <v>83</v>
      </c>
      <c r="AJ220"/>
    </row>
    <row r="221" spans="15:36" x14ac:dyDescent="0.25">
      <c r="O221" s="61">
        <f t="shared" si="236"/>
        <v>45692</v>
      </c>
      <c r="P221" s="124">
        <f t="shared" si="232"/>
        <v>3</v>
      </c>
      <c r="Q221" s="180">
        <f t="shared" si="220"/>
        <v>1</v>
      </c>
      <c r="R221" s="180">
        <f t="shared" si="220"/>
        <v>1</v>
      </c>
      <c r="S221" s="180">
        <f t="shared" si="220"/>
        <v>1</v>
      </c>
      <c r="T221" s="180">
        <f t="shared" si="220"/>
        <v>1</v>
      </c>
      <c r="U221" s="180">
        <f t="shared" si="220"/>
        <v>1</v>
      </c>
      <c r="V221" s="61">
        <f t="shared" si="233"/>
        <v>45692</v>
      </c>
      <c r="W221" s="124">
        <f t="shared" ref="W221" si="261">WEEKDAY(V221)</f>
        <v>3</v>
      </c>
      <c r="AC221" t="s">
        <v>199</v>
      </c>
      <c r="AD221" s="61">
        <f t="shared" si="238"/>
        <v>45692</v>
      </c>
      <c r="AE221">
        <f t="shared" si="227"/>
        <v>90</v>
      </c>
      <c r="AF221">
        <f t="shared" si="228"/>
        <v>90</v>
      </c>
      <c r="AG221">
        <f t="shared" si="229"/>
        <v>82</v>
      </c>
      <c r="AH221">
        <f t="shared" si="230"/>
        <v>82</v>
      </c>
      <c r="AI221">
        <f t="shared" si="231"/>
        <v>82</v>
      </c>
      <c r="AJ221"/>
    </row>
    <row r="222" spans="15:36" x14ac:dyDescent="0.25">
      <c r="O222" s="61">
        <f t="shared" si="236"/>
        <v>45693</v>
      </c>
      <c r="P222" s="124">
        <f t="shared" si="232"/>
        <v>4</v>
      </c>
      <c r="Q222" s="180">
        <f t="shared" si="220"/>
        <v>1</v>
      </c>
      <c r="R222" s="180">
        <f t="shared" si="220"/>
        <v>1</v>
      </c>
      <c r="S222" s="180">
        <f t="shared" si="220"/>
        <v>1</v>
      </c>
      <c r="T222" s="180">
        <f t="shared" si="220"/>
        <v>1</v>
      </c>
      <c r="U222" s="180">
        <f t="shared" si="220"/>
        <v>1</v>
      </c>
      <c r="V222" s="61">
        <f t="shared" si="233"/>
        <v>45693</v>
      </c>
      <c r="W222" s="124">
        <f t="shared" ref="W222" si="262">WEEKDAY(V222)</f>
        <v>4</v>
      </c>
      <c r="AC222" t="s">
        <v>198</v>
      </c>
      <c r="AD222" s="61">
        <f t="shared" si="238"/>
        <v>45693</v>
      </c>
      <c r="AE222">
        <f t="shared" si="227"/>
        <v>89</v>
      </c>
      <c r="AF222">
        <f t="shared" si="228"/>
        <v>89</v>
      </c>
      <c r="AG222">
        <f t="shared" si="229"/>
        <v>81</v>
      </c>
      <c r="AH222">
        <f t="shared" si="230"/>
        <v>81</v>
      </c>
      <c r="AI222">
        <f t="shared" si="231"/>
        <v>81</v>
      </c>
      <c r="AJ222"/>
    </row>
    <row r="223" spans="15:36" x14ac:dyDescent="0.25">
      <c r="O223" s="61">
        <f t="shared" si="236"/>
        <v>45694</v>
      </c>
      <c r="P223" s="124">
        <f t="shared" si="232"/>
        <v>5</v>
      </c>
      <c r="Q223" s="180">
        <f t="shared" si="220"/>
        <v>1</v>
      </c>
      <c r="R223" s="180">
        <f t="shared" si="220"/>
        <v>1</v>
      </c>
      <c r="S223" s="180">
        <f t="shared" si="220"/>
        <v>1</v>
      </c>
      <c r="T223" s="180">
        <f t="shared" si="220"/>
        <v>1</v>
      </c>
      <c r="U223" s="180">
        <f t="shared" si="220"/>
        <v>1</v>
      </c>
      <c r="V223" s="61">
        <f t="shared" si="233"/>
        <v>45694</v>
      </c>
      <c r="W223" s="124">
        <f t="shared" ref="W223" si="263">WEEKDAY(V223)</f>
        <v>5</v>
      </c>
      <c r="AC223" t="s">
        <v>199</v>
      </c>
      <c r="AD223" s="61">
        <f t="shared" si="238"/>
        <v>45694</v>
      </c>
      <c r="AE223">
        <f t="shared" si="227"/>
        <v>88</v>
      </c>
      <c r="AF223">
        <f t="shared" si="228"/>
        <v>88</v>
      </c>
      <c r="AG223">
        <f t="shared" si="229"/>
        <v>80</v>
      </c>
      <c r="AH223">
        <f t="shared" si="230"/>
        <v>80</v>
      </c>
      <c r="AI223">
        <f t="shared" si="231"/>
        <v>80</v>
      </c>
      <c r="AJ223"/>
    </row>
    <row r="224" spans="15:36" x14ac:dyDescent="0.25">
      <c r="O224" s="61">
        <f t="shared" si="236"/>
        <v>45695</v>
      </c>
      <c r="P224" s="124">
        <f t="shared" si="232"/>
        <v>6</v>
      </c>
      <c r="Q224" s="180">
        <f t="shared" si="220"/>
        <v>1</v>
      </c>
      <c r="R224" s="180">
        <f t="shared" si="220"/>
        <v>1</v>
      </c>
      <c r="S224" s="180">
        <f t="shared" si="220"/>
        <v>1</v>
      </c>
      <c r="T224" s="180">
        <f t="shared" si="220"/>
        <v>1</v>
      </c>
      <c r="U224" s="180">
        <f t="shared" si="220"/>
        <v>1</v>
      </c>
      <c r="V224" s="61">
        <f t="shared" si="233"/>
        <v>45695</v>
      </c>
      <c r="W224" s="124">
        <f t="shared" ref="W224" si="264">WEEKDAY(V224)</f>
        <v>6</v>
      </c>
      <c r="X224" t="s">
        <v>481</v>
      </c>
      <c r="Y224" t="s">
        <v>481</v>
      </c>
      <c r="Z224" t="s">
        <v>481</v>
      </c>
      <c r="AA224" t="s">
        <v>481</v>
      </c>
      <c r="AB224" t="s">
        <v>481</v>
      </c>
      <c r="AD224" s="61">
        <f t="shared" si="238"/>
        <v>45695</v>
      </c>
      <c r="AE224">
        <f t="shared" si="227"/>
        <v>87</v>
      </c>
      <c r="AF224">
        <f t="shared" si="228"/>
        <v>87</v>
      </c>
      <c r="AG224">
        <f t="shared" si="229"/>
        <v>79</v>
      </c>
      <c r="AH224">
        <f t="shared" si="230"/>
        <v>79</v>
      </c>
      <c r="AI224">
        <f t="shared" si="231"/>
        <v>79</v>
      </c>
      <c r="AJ224"/>
    </row>
    <row r="225" spans="15:36" x14ac:dyDescent="0.25">
      <c r="O225" s="61">
        <f t="shared" si="236"/>
        <v>45696</v>
      </c>
      <c r="P225" s="124">
        <f t="shared" si="232"/>
        <v>7</v>
      </c>
      <c r="Q225" s="180" t="str">
        <f t="shared" si="220"/>
        <v/>
      </c>
      <c r="R225" s="180" t="str">
        <f t="shared" si="220"/>
        <v/>
      </c>
      <c r="S225" s="180" t="str">
        <f t="shared" si="220"/>
        <v/>
      </c>
      <c r="T225" s="180" t="str">
        <f t="shared" si="220"/>
        <v/>
      </c>
      <c r="U225" s="180" t="str">
        <f t="shared" si="220"/>
        <v/>
      </c>
      <c r="V225" s="61">
        <f t="shared" si="233"/>
        <v>45696</v>
      </c>
      <c r="W225" s="124">
        <f t="shared" ref="W225" si="265">WEEKDAY(V225)</f>
        <v>7</v>
      </c>
      <c r="AD225" s="61">
        <f t="shared" si="238"/>
        <v>45696</v>
      </c>
      <c r="AE225">
        <f t="shared" si="227"/>
        <v>87</v>
      </c>
      <c r="AF225">
        <f t="shared" si="228"/>
        <v>87</v>
      </c>
      <c r="AG225">
        <f t="shared" si="229"/>
        <v>79</v>
      </c>
      <c r="AH225">
        <f t="shared" si="230"/>
        <v>79</v>
      </c>
      <c r="AI225">
        <f t="shared" si="231"/>
        <v>79</v>
      </c>
      <c r="AJ225"/>
    </row>
    <row r="226" spans="15:36" x14ac:dyDescent="0.25">
      <c r="O226" s="61">
        <f t="shared" si="236"/>
        <v>45697</v>
      </c>
      <c r="P226" s="124">
        <f t="shared" si="232"/>
        <v>1</v>
      </c>
      <c r="Q226" s="180" t="str">
        <f t="shared" si="220"/>
        <v/>
      </c>
      <c r="R226" s="180" t="str">
        <f t="shared" si="220"/>
        <v/>
      </c>
      <c r="S226" s="180" t="str">
        <f t="shared" si="220"/>
        <v/>
      </c>
      <c r="T226" s="180" t="str">
        <f t="shared" si="220"/>
        <v/>
      </c>
      <c r="U226" s="180" t="str">
        <f t="shared" si="220"/>
        <v/>
      </c>
      <c r="V226" s="61">
        <f t="shared" si="233"/>
        <v>45697</v>
      </c>
      <c r="W226" s="124">
        <f t="shared" ref="W226" si="266">WEEKDAY(V226)</f>
        <v>1</v>
      </c>
      <c r="AD226" s="61">
        <f t="shared" si="238"/>
        <v>45697</v>
      </c>
      <c r="AE226">
        <f t="shared" si="227"/>
        <v>87</v>
      </c>
      <c r="AF226">
        <f t="shared" si="228"/>
        <v>87</v>
      </c>
      <c r="AG226">
        <f t="shared" si="229"/>
        <v>79</v>
      </c>
      <c r="AH226">
        <f t="shared" si="230"/>
        <v>79</v>
      </c>
      <c r="AI226">
        <f t="shared" si="231"/>
        <v>79</v>
      </c>
      <c r="AJ226"/>
    </row>
    <row r="227" spans="15:36" x14ac:dyDescent="0.25">
      <c r="O227" s="61">
        <f t="shared" si="236"/>
        <v>45698</v>
      </c>
      <c r="P227" s="124">
        <f t="shared" si="232"/>
        <v>2</v>
      </c>
      <c r="Q227" s="180">
        <f t="shared" si="220"/>
        <v>1</v>
      </c>
      <c r="R227" s="180">
        <f t="shared" si="220"/>
        <v>1</v>
      </c>
      <c r="S227" s="180">
        <f t="shared" si="220"/>
        <v>1</v>
      </c>
      <c r="T227" s="180">
        <f t="shared" si="220"/>
        <v>1</v>
      </c>
      <c r="U227" s="180">
        <f t="shared" si="220"/>
        <v>1</v>
      </c>
      <c r="V227" s="61">
        <f t="shared" si="233"/>
        <v>45698</v>
      </c>
      <c r="W227" s="124">
        <f t="shared" ref="W227" si="267">WEEKDAY(V227)</f>
        <v>2</v>
      </c>
      <c r="AC227" t="s">
        <v>198</v>
      </c>
      <c r="AD227" s="61">
        <f t="shared" si="238"/>
        <v>45698</v>
      </c>
      <c r="AE227">
        <f t="shared" si="227"/>
        <v>86</v>
      </c>
      <c r="AF227">
        <f t="shared" si="228"/>
        <v>86</v>
      </c>
      <c r="AG227">
        <f t="shared" si="229"/>
        <v>78</v>
      </c>
      <c r="AH227">
        <f t="shared" si="230"/>
        <v>78</v>
      </c>
      <c r="AI227">
        <f t="shared" si="231"/>
        <v>78</v>
      </c>
      <c r="AJ227"/>
    </row>
    <row r="228" spans="15:36" x14ac:dyDescent="0.25">
      <c r="O228" s="61">
        <f t="shared" si="236"/>
        <v>45699</v>
      </c>
      <c r="P228" s="124">
        <f t="shared" si="232"/>
        <v>3</v>
      </c>
      <c r="Q228" s="180">
        <f t="shared" si="220"/>
        <v>1</v>
      </c>
      <c r="R228" s="180">
        <f t="shared" si="220"/>
        <v>1</v>
      </c>
      <c r="S228" s="180">
        <f t="shared" si="220"/>
        <v>1</v>
      </c>
      <c r="T228" s="180">
        <f t="shared" si="220"/>
        <v>1</v>
      </c>
      <c r="U228" s="180">
        <f t="shared" si="220"/>
        <v>1</v>
      </c>
      <c r="V228" s="61">
        <f t="shared" si="233"/>
        <v>45699</v>
      </c>
      <c r="W228" s="124">
        <f t="shared" ref="W228" si="268">WEEKDAY(V228)</f>
        <v>3</v>
      </c>
      <c r="AC228" t="s">
        <v>199</v>
      </c>
      <c r="AD228" s="61">
        <f t="shared" si="238"/>
        <v>45699</v>
      </c>
      <c r="AE228">
        <f t="shared" si="227"/>
        <v>85</v>
      </c>
      <c r="AF228">
        <f t="shared" si="228"/>
        <v>85</v>
      </c>
      <c r="AG228">
        <f t="shared" si="229"/>
        <v>77</v>
      </c>
      <c r="AH228">
        <f t="shared" si="230"/>
        <v>77</v>
      </c>
      <c r="AI228">
        <f t="shared" si="231"/>
        <v>77</v>
      </c>
      <c r="AJ228"/>
    </row>
    <row r="229" spans="15:36" x14ac:dyDescent="0.25">
      <c r="O229" s="61">
        <f t="shared" si="236"/>
        <v>45700</v>
      </c>
      <c r="P229" s="124">
        <f t="shared" si="232"/>
        <v>4</v>
      </c>
      <c r="Q229" s="180">
        <f t="shared" si="220"/>
        <v>1</v>
      </c>
      <c r="R229" s="180">
        <f t="shared" si="220"/>
        <v>1</v>
      </c>
      <c r="S229" s="180">
        <f t="shared" si="220"/>
        <v>1</v>
      </c>
      <c r="T229" s="180">
        <f t="shared" si="220"/>
        <v>1</v>
      </c>
      <c r="U229" s="180">
        <f t="shared" si="220"/>
        <v>1</v>
      </c>
      <c r="V229" s="61">
        <f t="shared" si="233"/>
        <v>45700</v>
      </c>
      <c r="W229" s="124">
        <f t="shared" ref="W229" si="269">WEEKDAY(V229)</f>
        <v>4</v>
      </c>
      <c r="AA229" t="s">
        <v>178</v>
      </c>
      <c r="AC229" t="s">
        <v>198</v>
      </c>
      <c r="AD229" s="61">
        <f t="shared" si="238"/>
        <v>45700</v>
      </c>
      <c r="AE229">
        <f t="shared" si="227"/>
        <v>84</v>
      </c>
      <c r="AF229">
        <f t="shared" si="228"/>
        <v>84</v>
      </c>
      <c r="AG229">
        <f t="shared" si="229"/>
        <v>76</v>
      </c>
      <c r="AH229">
        <f t="shared" si="230"/>
        <v>76</v>
      </c>
      <c r="AI229">
        <f t="shared" si="231"/>
        <v>76</v>
      </c>
      <c r="AJ229"/>
    </row>
    <row r="230" spans="15:36" x14ac:dyDescent="0.25">
      <c r="O230" s="61">
        <f t="shared" si="236"/>
        <v>45701</v>
      </c>
      <c r="P230" s="124">
        <f t="shared" si="232"/>
        <v>5</v>
      </c>
      <c r="Q230" s="180">
        <f t="shared" si="220"/>
        <v>1</v>
      </c>
      <c r="R230" s="180">
        <f t="shared" si="220"/>
        <v>1</v>
      </c>
      <c r="S230" s="180">
        <f t="shared" si="220"/>
        <v>1</v>
      </c>
      <c r="T230" s="180">
        <f t="shared" si="220"/>
        <v>1</v>
      </c>
      <c r="U230" s="180">
        <f t="shared" si="220"/>
        <v>1</v>
      </c>
      <c r="V230" s="61">
        <f t="shared" si="233"/>
        <v>45701</v>
      </c>
      <c r="W230" s="124">
        <f t="shared" ref="W230" si="270">WEEKDAY(V230)</f>
        <v>5</v>
      </c>
      <c r="AA230" t="s">
        <v>178</v>
      </c>
      <c r="AC230" t="s">
        <v>199</v>
      </c>
      <c r="AD230" s="61">
        <f t="shared" si="238"/>
        <v>45701</v>
      </c>
      <c r="AE230">
        <f t="shared" si="227"/>
        <v>83</v>
      </c>
      <c r="AF230">
        <f t="shared" si="228"/>
        <v>83</v>
      </c>
      <c r="AG230">
        <f t="shared" si="229"/>
        <v>75</v>
      </c>
      <c r="AH230">
        <f t="shared" si="230"/>
        <v>75</v>
      </c>
      <c r="AI230">
        <f t="shared" si="231"/>
        <v>75</v>
      </c>
      <c r="AJ230"/>
    </row>
    <row r="231" spans="15:36" x14ac:dyDescent="0.25">
      <c r="O231" s="61">
        <f t="shared" si="236"/>
        <v>45702</v>
      </c>
      <c r="P231" s="124">
        <f t="shared" si="232"/>
        <v>6</v>
      </c>
      <c r="Q231" s="180">
        <f t="shared" si="220"/>
        <v>1</v>
      </c>
      <c r="R231" s="180">
        <f t="shared" si="220"/>
        <v>1</v>
      </c>
      <c r="S231" s="180">
        <f t="shared" si="220"/>
        <v>1</v>
      </c>
      <c r="T231" s="180">
        <f t="shared" si="220"/>
        <v>1</v>
      </c>
      <c r="U231" s="180">
        <f t="shared" si="220"/>
        <v>1</v>
      </c>
      <c r="V231" s="61">
        <f t="shared" si="233"/>
        <v>45702</v>
      </c>
      <c r="W231" s="124">
        <f t="shared" ref="W231" si="271">WEEKDAY(V231)</f>
        <v>6</v>
      </c>
      <c r="X231" t="s">
        <v>478</v>
      </c>
      <c r="Y231" t="s">
        <v>478</v>
      </c>
      <c r="AA231" t="s">
        <v>478</v>
      </c>
      <c r="AD231" s="61">
        <f t="shared" si="238"/>
        <v>45702</v>
      </c>
      <c r="AE231">
        <f t="shared" si="227"/>
        <v>82</v>
      </c>
      <c r="AF231">
        <f t="shared" si="228"/>
        <v>82</v>
      </c>
      <c r="AG231">
        <f t="shared" si="229"/>
        <v>74</v>
      </c>
      <c r="AH231">
        <f t="shared" si="230"/>
        <v>74</v>
      </c>
      <c r="AI231">
        <f t="shared" si="231"/>
        <v>74</v>
      </c>
      <c r="AJ231"/>
    </row>
    <row r="232" spans="15:36" x14ac:dyDescent="0.25">
      <c r="O232" s="61">
        <f t="shared" si="236"/>
        <v>45703</v>
      </c>
      <c r="P232" s="124">
        <f t="shared" si="232"/>
        <v>7</v>
      </c>
      <c r="Q232" s="180" t="str">
        <f t="shared" si="220"/>
        <v/>
      </c>
      <c r="R232" s="180" t="str">
        <f t="shared" si="220"/>
        <v/>
      </c>
      <c r="S232" s="180" t="str">
        <f t="shared" si="220"/>
        <v/>
      </c>
      <c r="T232" s="180" t="str">
        <f t="shared" si="220"/>
        <v/>
      </c>
      <c r="U232" s="180" t="str">
        <f t="shared" si="220"/>
        <v/>
      </c>
      <c r="V232" s="61">
        <f t="shared" si="233"/>
        <v>45703</v>
      </c>
      <c r="W232" s="124">
        <f t="shared" ref="W232" si="272">WEEKDAY(V232)</f>
        <v>7</v>
      </c>
      <c r="AD232" s="61">
        <f t="shared" si="238"/>
        <v>45703</v>
      </c>
      <c r="AE232">
        <f t="shared" si="227"/>
        <v>82</v>
      </c>
      <c r="AF232">
        <f t="shared" si="228"/>
        <v>82</v>
      </c>
      <c r="AG232">
        <f t="shared" si="229"/>
        <v>74</v>
      </c>
      <c r="AH232">
        <f t="shared" si="230"/>
        <v>74</v>
      </c>
      <c r="AI232">
        <f t="shared" si="231"/>
        <v>74</v>
      </c>
      <c r="AJ232"/>
    </row>
    <row r="233" spans="15:36" x14ac:dyDescent="0.25">
      <c r="O233" s="61">
        <f t="shared" si="236"/>
        <v>45704</v>
      </c>
      <c r="P233" s="124">
        <f t="shared" si="232"/>
        <v>1</v>
      </c>
      <c r="Q233" s="180" t="str">
        <f t="shared" si="220"/>
        <v/>
      </c>
      <c r="R233" s="180" t="str">
        <f t="shared" si="220"/>
        <v/>
      </c>
      <c r="S233" s="180" t="str">
        <f t="shared" si="220"/>
        <v/>
      </c>
      <c r="T233" s="180" t="str">
        <f t="shared" si="220"/>
        <v/>
      </c>
      <c r="U233" s="180" t="str">
        <f t="shared" si="220"/>
        <v/>
      </c>
      <c r="V233" s="61">
        <f t="shared" si="233"/>
        <v>45704</v>
      </c>
      <c r="W233" s="124">
        <f t="shared" ref="W233" si="273">WEEKDAY(V233)</f>
        <v>1</v>
      </c>
      <c r="AD233" s="61">
        <f t="shared" si="238"/>
        <v>45704</v>
      </c>
      <c r="AE233">
        <f t="shared" si="227"/>
        <v>82</v>
      </c>
      <c r="AF233">
        <f t="shared" si="228"/>
        <v>82</v>
      </c>
      <c r="AG233">
        <f t="shared" si="229"/>
        <v>74</v>
      </c>
      <c r="AH233">
        <f t="shared" si="230"/>
        <v>74</v>
      </c>
      <c r="AI233">
        <f t="shared" si="231"/>
        <v>74</v>
      </c>
      <c r="AJ233"/>
    </row>
    <row r="234" spans="15:36" x14ac:dyDescent="0.25">
      <c r="O234" s="61">
        <f t="shared" si="236"/>
        <v>45705</v>
      </c>
      <c r="P234" s="124">
        <f t="shared" si="232"/>
        <v>2</v>
      </c>
      <c r="Q234" s="180" t="s">
        <v>177</v>
      </c>
      <c r="R234" s="180" t="s">
        <v>177</v>
      </c>
      <c r="S234" s="180" t="s">
        <v>177</v>
      </c>
      <c r="T234" s="180" t="s">
        <v>177</v>
      </c>
      <c r="U234" s="180" t="s">
        <v>177</v>
      </c>
      <c r="V234" s="61">
        <f t="shared" si="233"/>
        <v>45705</v>
      </c>
      <c r="W234" s="124">
        <f t="shared" ref="W234" si="274">WEEKDAY(V234)</f>
        <v>2</v>
      </c>
      <c r="AD234" s="61">
        <f t="shared" si="238"/>
        <v>45705</v>
      </c>
      <c r="AE234">
        <f t="shared" si="227"/>
        <v>82</v>
      </c>
      <c r="AF234">
        <f t="shared" si="228"/>
        <v>82</v>
      </c>
      <c r="AG234">
        <f t="shared" si="229"/>
        <v>74</v>
      </c>
      <c r="AH234">
        <f t="shared" si="230"/>
        <v>74</v>
      </c>
      <c r="AI234">
        <f t="shared" si="231"/>
        <v>74</v>
      </c>
      <c r="AJ234"/>
    </row>
    <row r="235" spans="15:36" x14ac:dyDescent="0.25">
      <c r="O235" s="61">
        <f t="shared" si="236"/>
        <v>45706</v>
      </c>
      <c r="P235" s="124">
        <f t="shared" si="232"/>
        <v>3</v>
      </c>
      <c r="Q235" s="180">
        <f t="shared" si="220"/>
        <v>1</v>
      </c>
      <c r="R235" s="180">
        <f t="shared" si="220"/>
        <v>1</v>
      </c>
      <c r="S235" s="180">
        <f t="shared" si="220"/>
        <v>1</v>
      </c>
      <c r="T235" s="180">
        <f t="shared" si="220"/>
        <v>1</v>
      </c>
      <c r="U235" s="180">
        <f t="shared" si="220"/>
        <v>1</v>
      </c>
      <c r="V235" s="61">
        <f t="shared" si="233"/>
        <v>45706</v>
      </c>
      <c r="W235" s="124">
        <f t="shared" ref="W235" si="275">WEEKDAY(V235)</f>
        <v>3</v>
      </c>
      <c r="AC235" t="s">
        <v>198</v>
      </c>
      <c r="AD235" s="61">
        <f t="shared" si="238"/>
        <v>45706</v>
      </c>
      <c r="AE235">
        <f t="shared" si="227"/>
        <v>81</v>
      </c>
      <c r="AF235">
        <f t="shared" si="228"/>
        <v>81</v>
      </c>
      <c r="AG235">
        <f t="shared" si="229"/>
        <v>73</v>
      </c>
      <c r="AH235">
        <f t="shared" si="230"/>
        <v>73</v>
      </c>
      <c r="AI235">
        <f t="shared" si="231"/>
        <v>73</v>
      </c>
      <c r="AJ235"/>
    </row>
    <row r="236" spans="15:36" x14ac:dyDescent="0.25">
      <c r="O236" s="61">
        <f t="shared" si="236"/>
        <v>45707</v>
      </c>
      <c r="P236" s="124">
        <f t="shared" si="232"/>
        <v>4</v>
      </c>
      <c r="Q236" s="180">
        <v>1</v>
      </c>
      <c r="R236" s="180">
        <v>1</v>
      </c>
      <c r="S236" s="180">
        <v>1</v>
      </c>
      <c r="T236" s="180">
        <v>1</v>
      </c>
      <c r="U236" s="180">
        <v>1</v>
      </c>
      <c r="V236" s="61">
        <f t="shared" si="233"/>
        <v>45707</v>
      </c>
      <c r="W236" s="124">
        <f t="shared" ref="W236" si="276">WEEKDAY(V236)</f>
        <v>4</v>
      </c>
      <c r="Z236" t="s">
        <v>178</v>
      </c>
      <c r="AC236" t="s">
        <v>199</v>
      </c>
      <c r="AD236" s="61">
        <f t="shared" si="238"/>
        <v>45707</v>
      </c>
      <c r="AE236">
        <f t="shared" si="227"/>
        <v>80</v>
      </c>
      <c r="AF236">
        <f t="shared" si="228"/>
        <v>80</v>
      </c>
      <c r="AG236">
        <f t="shared" si="229"/>
        <v>72</v>
      </c>
      <c r="AH236">
        <f t="shared" si="230"/>
        <v>72</v>
      </c>
      <c r="AI236">
        <f t="shared" si="231"/>
        <v>72</v>
      </c>
      <c r="AJ236"/>
    </row>
    <row r="237" spans="15:36" x14ac:dyDescent="0.25">
      <c r="O237" s="61">
        <f t="shared" si="236"/>
        <v>45708</v>
      </c>
      <c r="P237" s="124">
        <f t="shared" si="232"/>
        <v>5</v>
      </c>
      <c r="Q237" s="180">
        <f t="shared" si="220"/>
        <v>1</v>
      </c>
      <c r="R237" s="180">
        <f t="shared" si="220"/>
        <v>1</v>
      </c>
      <c r="S237" s="180">
        <f t="shared" si="220"/>
        <v>1</v>
      </c>
      <c r="T237" s="180">
        <f t="shared" si="220"/>
        <v>1</v>
      </c>
      <c r="U237" s="180">
        <f t="shared" si="220"/>
        <v>1</v>
      </c>
      <c r="V237" s="61">
        <f t="shared" si="233"/>
        <v>45708</v>
      </c>
      <c r="W237" s="124">
        <f t="shared" ref="W237" si="277">WEEKDAY(V237)</f>
        <v>5</v>
      </c>
      <c r="Z237" t="s">
        <v>178</v>
      </c>
      <c r="AC237" t="s">
        <v>198</v>
      </c>
      <c r="AD237" s="61">
        <f t="shared" si="238"/>
        <v>45708</v>
      </c>
      <c r="AE237">
        <f t="shared" si="227"/>
        <v>79</v>
      </c>
      <c r="AF237">
        <f t="shared" si="228"/>
        <v>79</v>
      </c>
      <c r="AG237">
        <f t="shared" si="229"/>
        <v>71</v>
      </c>
      <c r="AH237">
        <f t="shared" si="230"/>
        <v>71</v>
      </c>
      <c r="AI237">
        <f t="shared" si="231"/>
        <v>71</v>
      </c>
      <c r="AJ237"/>
    </row>
    <row r="238" spans="15:36" x14ac:dyDescent="0.25">
      <c r="O238" s="61">
        <f t="shared" si="236"/>
        <v>45709</v>
      </c>
      <c r="P238" s="124">
        <f t="shared" si="232"/>
        <v>6</v>
      </c>
      <c r="Q238" s="180">
        <f t="shared" si="220"/>
        <v>1</v>
      </c>
      <c r="R238" s="180">
        <f t="shared" si="220"/>
        <v>1</v>
      </c>
      <c r="S238" s="180">
        <f t="shared" si="220"/>
        <v>1</v>
      </c>
      <c r="T238" s="180">
        <f t="shared" si="220"/>
        <v>1</v>
      </c>
      <c r="U238" s="180">
        <f t="shared" si="220"/>
        <v>1</v>
      </c>
      <c r="V238" s="61">
        <f t="shared" si="233"/>
        <v>45709</v>
      </c>
      <c r="W238" s="124">
        <f t="shared" ref="W238" si="278">WEEKDAY(V238)</f>
        <v>6</v>
      </c>
      <c r="X238" t="s">
        <v>478</v>
      </c>
      <c r="Y238" t="s">
        <v>478</v>
      </c>
      <c r="Z238" t="s">
        <v>478</v>
      </c>
      <c r="AC238" t="s">
        <v>199</v>
      </c>
      <c r="AD238" s="61">
        <f t="shared" si="238"/>
        <v>45709</v>
      </c>
      <c r="AE238">
        <f t="shared" si="227"/>
        <v>78</v>
      </c>
      <c r="AF238">
        <f t="shared" si="228"/>
        <v>78</v>
      </c>
      <c r="AG238">
        <f t="shared" si="229"/>
        <v>70</v>
      </c>
      <c r="AH238">
        <f t="shared" si="230"/>
        <v>70</v>
      </c>
      <c r="AI238">
        <f t="shared" si="231"/>
        <v>70</v>
      </c>
      <c r="AJ238"/>
    </row>
    <row r="239" spans="15:36" x14ac:dyDescent="0.25">
      <c r="O239" s="61">
        <f t="shared" si="236"/>
        <v>45710</v>
      </c>
      <c r="P239" s="124">
        <f t="shared" si="232"/>
        <v>7</v>
      </c>
      <c r="Q239" s="180" t="str">
        <f t="shared" si="220"/>
        <v/>
      </c>
      <c r="R239" s="180" t="str">
        <f t="shared" si="220"/>
        <v/>
      </c>
      <c r="S239" s="180" t="str">
        <f t="shared" si="220"/>
        <v/>
      </c>
      <c r="T239" s="180" t="str">
        <f t="shared" si="220"/>
        <v/>
      </c>
      <c r="U239" s="180" t="str">
        <f t="shared" si="220"/>
        <v/>
      </c>
      <c r="V239" s="61">
        <f t="shared" si="233"/>
        <v>45710</v>
      </c>
      <c r="W239" s="124">
        <f t="shared" ref="W239" si="279">WEEKDAY(V239)</f>
        <v>7</v>
      </c>
      <c r="AD239" s="61">
        <f t="shared" si="238"/>
        <v>45710</v>
      </c>
      <c r="AE239">
        <f t="shared" si="227"/>
        <v>78</v>
      </c>
      <c r="AF239">
        <f t="shared" si="228"/>
        <v>78</v>
      </c>
      <c r="AG239">
        <f t="shared" si="229"/>
        <v>70</v>
      </c>
      <c r="AH239">
        <f t="shared" si="230"/>
        <v>70</v>
      </c>
      <c r="AI239">
        <f t="shared" si="231"/>
        <v>70</v>
      </c>
      <c r="AJ239"/>
    </row>
    <row r="240" spans="15:36" x14ac:dyDescent="0.25">
      <c r="O240" s="61">
        <f t="shared" si="236"/>
        <v>45711</v>
      </c>
      <c r="P240" s="124">
        <f t="shared" si="232"/>
        <v>1</v>
      </c>
      <c r="Q240" s="180" t="str">
        <f t="shared" ref="Q240:U290" si="280">IF(OR($P240=2,$P240=3,$P240=4,$P240=5,$P240=6),1,"")</f>
        <v/>
      </c>
      <c r="R240" s="180" t="str">
        <f t="shared" si="280"/>
        <v/>
      </c>
      <c r="S240" s="180" t="str">
        <f t="shared" si="280"/>
        <v/>
      </c>
      <c r="T240" s="180" t="str">
        <f t="shared" si="280"/>
        <v/>
      </c>
      <c r="U240" s="180" t="str">
        <f t="shared" si="280"/>
        <v/>
      </c>
      <c r="V240" s="61">
        <f t="shared" si="233"/>
        <v>45711</v>
      </c>
      <c r="W240" s="124">
        <f t="shared" ref="W240" si="281">WEEKDAY(V240)</f>
        <v>1</v>
      </c>
      <c r="AD240" s="61">
        <f t="shared" si="238"/>
        <v>45711</v>
      </c>
      <c r="AE240">
        <f t="shared" si="227"/>
        <v>78</v>
      </c>
      <c r="AF240">
        <f t="shared" si="228"/>
        <v>78</v>
      </c>
      <c r="AG240">
        <f t="shared" si="229"/>
        <v>70</v>
      </c>
      <c r="AH240">
        <f t="shared" si="230"/>
        <v>70</v>
      </c>
      <c r="AI240">
        <f t="shared" si="231"/>
        <v>70</v>
      </c>
      <c r="AJ240"/>
    </row>
    <row r="241" spans="15:36" x14ac:dyDescent="0.25">
      <c r="O241" s="61">
        <f t="shared" si="236"/>
        <v>45712</v>
      </c>
      <c r="P241" s="124">
        <f t="shared" si="232"/>
        <v>2</v>
      </c>
      <c r="Q241" s="180">
        <f t="shared" si="280"/>
        <v>1</v>
      </c>
      <c r="R241" s="180">
        <f t="shared" si="280"/>
        <v>1</v>
      </c>
      <c r="S241" s="180">
        <f t="shared" si="280"/>
        <v>1</v>
      </c>
      <c r="T241" s="180">
        <f t="shared" si="280"/>
        <v>1</v>
      </c>
      <c r="U241" s="180">
        <f t="shared" si="280"/>
        <v>1</v>
      </c>
      <c r="V241" s="61">
        <f t="shared" si="233"/>
        <v>45712</v>
      </c>
      <c r="W241" s="124">
        <f t="shared" ref="W241" si="282">WEEKDAY(V241)</f>
        <v>2</v>
      </c>
      <c r="AC241" t="s">
        <v>198</v>
      </c>
      <c r="AD241" s="61">
        <f t="shared" si="238"/>
        <v>45712</v>
      </c>
      <c r="AE241">
        <f t="shared" si="227"/>
        <v>77</v>
      </c>
      <c r="AF241">
        <f t="shared" si="228"/>
        <v>77</v>
      </c>
      <c r="AG241">
        <f t="shared" si="229"/>
        <v>69</v>
      </c>
      <c r="AH241">
        <f t="shared" si="230"/>
        <v>69</v>
      </c>
      <c r="AI241">
        <f t="shared" si="231"/>
        <v>69</v>
      </c>
      <c r="AJ241"/>
    </row>
    <row r="242" spans="15:36" x14ac:dyDescent="0.25">
      <c r="O242" s="61">
        <f t="shared" si="236"/>
        <v>45713</v>
      </c>
      <c r="P242" s="124">
        <f t="shared" si="232"/>
        <v>3</v>
      </c>
      <c r="Q242" s="180">
        <f t="shared" si="280"/>
        <v>1</v>
      </c>
      <c r="R242" s="180">
        <f t="shared" si="280"/>
        <v>1</v>
      </c>
      <c r="S242" s="180">
        <f t="shared" si="280"/>
        <v>1</v>
      </c>
      <c r="T242" s="180">
        <f t="shared" si="280"/>
        <v>1</v>
      </c>
      <c r="U242" s="180">
        <f t="shared" si="280"/>
        <v>1</v>
      </c>
      <c r="V242" s="61">
        <f t="shared" si="233"/>
        <v>45713</v>
      </c>
      <c r="W242" s="124">
        <f t="shared" ref="W242" si="283">WEEKDAY(V242)</f>
        <v>3</v>
      </c>
      <c r="AC242" t="s">
        <v>199</v>
      </c>
      <c r="AD242" s="61">
        <f t="shared" si="238"/>
        <v>45713</v>
      </c>
      <c r="AE242">
        <f t="shared" si="227"/>
        <v>76</v>
      </c>
      <c r="AF242">
        <f t="shared" si="228"/>
        <v>76</v>
      </c>
      <c r="AG242">
        <f t="shared" si="229"/>
        <v>68</v>
      </c>
      <c r="AH242">
        <f t="shared" si="230"/>
        <v>68</v>
      </c>
      <c r="AI242">
        <f t="shared" si="231"/>
        <v>68</v>
      </c>
      <c r="AJ242"/>
    </row>
    <row r="243" spans="15:36" x14ac:dyDescent="0.25">
      <c r="O243" s="61">
        <f t="shared" si="236"/>
        <v>45714</v>
      </c>
      <c r="P243" s="124">
        <f t="shared" si="232"/>
        <v>4</v>
      </c>
      <c r="Q243" s="180">
        <f t="shared" si="280"/>
        <v>1</v>
      </c>
      <c r="R243" s="180">
        <f t="shared" si="280"/>
        <v>1</v>
      </c>
      <c r="S243" s="180">
        <f t="shared" si="280"/>
        <v>1</v>
      </c>
      <c r="T243" s="180">
        <f t="shared" si="280"/>
        <v>1</v>
      </c>
      <c r="U243" s="180">
        <f t="shared" si="280"/>
        <v>1</v>
      </c>
      <c r="V243" s="61">
        <f t="shared" si="233"/>
        <v>45714</v>
      </c>
      <c r="W243" s="124">
        <f t="shared" ref="W243" si="284">WEEKDAY(V243)</f>
        <v>4</v>
      </c>
      <c r="AC243" t="s">
        <v>198</v>
      </c>
      <c r="AD243" s="61">
        <f t="shared" si="238"/>
        <v>45714</v>
      </c>
      <c r="AE243">
        <f t="shared" si="227"/>
        <v>75</v>
      </c>
      <c r="AF243">
        <f t="shared" si="228"/>
        <v>75</v>
      </c>
      <c r="AG243">
        <f t="shared" si="229"/>
        <v>67</v>
      </c>
      <c r="AH243">
        <f t="shared" si="230"/>
        <v>67</v>
      </c>
      <c r="AI243">
        <f t="shared" si="231"/>
        <v>67</v>
      </c>
      <c r="AJ243"/>
    </row>
    <row r="244" spans="15:36" x14ac:dyDescent="0.25">
      <c r="O244" s="61">
        <f t="shared" si="236"/>
        <v>45715</v>
      </c>
      <c r="P244" s="124">
        <f t="shared" si="232"/>
        <v>5</v>
      </c>
      <c r="Q244" s="180">
        <f t="shared" si="280"/>
        <v>1</v>
      </c>
      <c r="R244" s="180">
        <f t="shared" si="280"/>
        <v>1</v>
      </c>
      <c r="S244" s="180">
        <f t="shared" si="280"/>
        <v>1</v>
      </c>
      <c r="T244" s="180">
        <f t="shared" si="280"/>
        <v>1</v>
      </c>
      <c r="U244" s="180">
        <f t="shared" si="280"/>
        <v>1</v>
      </c>
      <c r="V244" s="61">
        <f t="shared" si="233"/>
        <v>45715</v>
      </c>
      <c r="W244" s="124">
        <f t="shared" ref="W244" si="285">WEEKDAY(V244)</f>
        <v>5</v>
      </c>
      <c r="AC244" t="s">
        <v>199</v>
      </c>
      <c r="AD244" s="61">
        <f t="shared" si="238"/>
        <v>45715</v>
      </c>
      <c r="AE244">
        <f t="shared" si="227"/>
        <v>74</v>
      </c>
      <c r="AF244">
        <f t="shared" si="228"/>
        <v>74</v>
      </c>
      <c r="AG244">
        <f t="shared" si="229"/>
        <v>66</v>
      </c>
      <c r="AH244">
        <f t="shared" si="230"/>
        <v>66</v>
      </c>
      <c r="AI244">
        <f t="shared" si="231"/>
        <v>66</v>
      </c>
      <c r="AJ244"/>
    </row>
    <row r="245" spans="15:36" x14ac:dyDescent="0.25">
      <c r="O245" s="61">
        <f t="shared" si="236"/>
        <v>45716</v>
      </c>
      <c r="P245" s="124">
        <f t="shared" si="232"/>
        <v>6</v>
      </c>
      <c r="Q245" s="180">
        <f t="shared" si="280"/>
        <v>1</v>
      </c>
      <c r="R245" s="180">
        <f t="shared" si="280"/>
        <v>1</v>
      </c>
      <c r="S245" s="180">
        <f t="shared" si="280"/>
        <v>1</v>
      </c>
      <c r="T245" s="180">
        <f t="shared" si="280"/>
        <v>1</v>
      </c>
      <c r="U245" s="180">
        <f t="shared" si="280"/>
        <v>1</v>
      </c>
      <c r="V245" s="61">
        <f t="shared" si="233"/>
        <v>45716</v>
      </c>
      <c r="W245" s="124">
        <f t="shared" ref="W245" si="286">WEEKDAY(V245)</f>
        <v>6</v>
      </c>
      <c r="AC245" t="s">
        <v>198</v>
      </c>
      <c r="AD245" s="61">
        <f t="shared" si="238"/>
        <v>45716</v>
      </c>
      <c r="AE245">
        <f t="shared" si="227"/>
        <v>73</v>
      </c>
      <c r="AF245">
        <f t="shared" si="228"/>
        <v>73</v>
      </c>
      <c r="AG245">
        <f t="shared" si="229"/>
        <v>65</v>
      </c>
      <c r="AH245">
        <f t="shared" si="230"/>
        <v>65</v>
      </c>
      <c r="AI245">
        <f t="shared" si="231"/>
        <v>65</v>
      </c>
      <c r="AJ245"/>
    </row>
    <row r="246" spans="15:36" x14ac:dyDescent="0.25">
      <c r="O246" s="61">
        <f t="shared" si="236"/>
        <v>45717</v>
      </c>
      <c r="P246" s="124">
        <f t="shared" si="232"/>
        <v>7</v>
      </c>
      <c r="Q246" s="180" t="str">
        <f t="shared" si="280"/>
        <v/>
      </c>
      <c r="R246" s="180" t="str">
        <f t="shared" si="280"/>
        <v/>
      </c>
      <c r="S246" s="180" t="str">
        <f t="shared" si="280"/>
        <v/>
      </c>
      <c r="T246" s="180" t="str">
        <f t="shared" si="280"/>
        <v/>
      </c>
      <c r="U246" s="180" t="str">
        <f t="shared" si="280"/>
        <v/>
      </c>
      <c r="V246" s="61">
        <f t="shared" si="233"/>
        <v>45717</v>
      </c>
      <c r="W246" s="124">
        <f t="shared" ref="W246" si="287">WEEKDAY(V246)</f>
        <v>7</v>
      </c>
      <c r="AD246" s="61">
        <f t="shared" si="238"/>
        <v>45717</v>
      </c>
      <c r="AE246">
        <f t="shared" si="227"/>
        <v>73</v>
      </c>
      <c r="AF246">
        <f t="shared" si="228"/>
        <v>73</v>
      </c>
      <c r="AG246">
        <f t="shared" si="229"/>
        <v>65</v>
      </c>
      <c r="AH246">
        <f t="shared" si="230"/>
        <v>65</v>
      </c>
      <c r="AI246">
        <f t="shared" si="231"/>
        <v>65</v>
      </c>
      <c r="AJ246"/>
    </row>
    <row r="247" spans="15:36" x14ac:dyDescent="0.25">
      <c r="O247" s="61">
        <f t="shared" si="236"/>
        <v>45718</v>
      </c>
      <c r="P247" s="124">
        <f t="shared" si="232"/>
        <v>1</v>
      </c>
      <c r="Q247" s="180" t="str">
        <f t="shared" si="280"/>
        <v/>
      </c>
      <c r="R247" s="180" t="str">
        <f t="shared" si="280"/>
        <v/>
      </c>
      <c r="S247" s="180" t="str">
        <f t="shared" si="280"/>
        <v/>
      </c>
      <c r="T247" s="180" t="str">
        <f t="shared" si="280"/>
        <v/>
      </c>
      <c r="U247" s="180" t="str">
        <f t="shared" si="280"/>
        <v/>
      </c>
      <c r="V247" s="61">
        <f t="shared" si="233"/>
        <v>45718</v>
      </c>
      <c r="W247" s="124">
        <f t="shared" ref="W247" si="288">WEEKDAY(V247)</f>
        <v>1</v>
      </c>
      <c r="AD247" s="61">
        <f t="shared" si="238"/>
        <v>45718</v>
      </c>
      <c r="AE247">
        <f t="shared" si="227"/>
        <v>73</v>
      </c>
      <c r="AF247">
        <f t="shared" si="228"/>
        <v>73</v>
      </c>
      <c r="AG247">
        <f t="shared" si="229"/>
        <v>65</v>
      </c>
      <c r="AH247">
        <f t="shared" si="230"/>
        <v>65</v>
      </c>
      <c r="AI247">
        <f t="shared" si="231"/>
        <v>65</v>
      </c>
      <c r="AJ247"/>
    </row>
    <row r="248" spans="15:36" x14ac:dyDescent="0.25">
      <c r="O248" s="61">
        <f t="shared" si="236"/>
        <v>45719</v>
      </c>
      <c r="P248" s="124">
        <f t="shared" si="232"/>
        <v>2</v>
      </c>
      <c r="Q248" s="180">
        <f t="shared" si="280"/>
        <v>1</v>
      </c>
      <c r="R248" s="180">
        <f t="shared" si="280"/>
        <v>1</v>
      </c>
      <c r="S248" s="180">
        <f t="shared" si="280"/>
        <v>1</v>
      </c>
      <c r="T248" s="180">
        <f t="shared" si="280"/>
        <v>1</v>
      </c>
      <c r="U248" s="180">
        <f t="shared" si="280"/>
        <v>1</v>
      </c>
      <c r="V248" s="61">
        <f t="shared" si="233"/>
        <v>45719</v>
      </c>
      <c r="W248" s="124">
        <f t="shared" ref="W248" si="289">WEEKDAY(V248)</f>
        <v>2</v>
      </c>
      <c r="AC248" t="s">
        <v>199</v>
      </c>
      <c r="AD248" s="61">
        <f t="shared" si="238"/>
        <v>45719</v>
      </c>
      <c r="AE248">
        <f t="shared" si="227"/>
        <v>72</v>
      </c>
      <c r="AF248">
        <f t="shared" si="228"/>
        <v>72</v>
      </c>
      <c r="AG248">
        <f t="shared" si="229"/>
        <v>64</v>
      </c>
      <c r="AH248">
        <f t="shared" si="230"/>
        <v>64</v>
      </c>
      <c r="AI248">
        <f t="shared" si="231"/>
        <v>64</v>
      </c>
      <c r="AJ248"/>
    </row>
    <row r="249" spans="15:36" x14ac:dyDescent="0.25">
      <c r="O249" s="61">
        <f t="shared" si="236"/>
        <v>45720</v>
      </c>
      <c r="P249" s="124">
        <f t="shared" si="232"/>
        <v>3</v>
      </c>
      <c r="Q249" s="180">
        <f t="shared" si="280"/>
        <v>1</v>
      </c>
      <c r="R249" s="180">
        <f t="shared" si="280"/>
        <v>1</v>
      </c>
      <c r="S249" s="180">
        <f t="shared" si="280"/>
        <v>1</v>
      </c>
      <c r="T249" s="180">
        <f t="shared" si="280"/>
        <v>1</v>
      </c>
      <c r="U249" s="180">
        <f t="shared" si="280"/>
        <v>1</v>
      </c>
      <c r="V249" s="61">
        <f t="shared" si="233"/>
        <v>45720</v>
      </c>
      <c r="W249" s="124">
        <f t="shared" ref="W249" si="290">WEEKDAY(V249)</f>
        <v>3</v>
      </c>
      <c r="AC249" t="s">
        <v>198</v>
      </c>
      <c r="AD249" s="61">
        <f t="shared" si="238"/>
        <v>45720</v>
      </c>
      <c r="AE249">
        <f t="shared" si="227"/>
        <v>71</v>
      </c>
      <c r="AF249">
        <f t="shared" si="228"/>
        <v>71</v>
      </c>
      <c r="AG249">
        <f t="shared" si="229"/>
        <v>63</v>
      </c>
      <c r="AH249">
        <f t="shared" si="230"/>
        <v>63</v>
      </c>
      <c r="AI249">
        <f t="shared" si="231"/>
        <v>63</v>
      </c>
      <c r="AJ249"/>
    </row>
    <row r="250" spans="15:36" x14ac:dyDescent="0.25">
      <c r="O250" s="61">
        <f t="shared" si="236"/>
        <v>45721</v>
      </c>
      <c r="P250" s="124">
        <f t="shared" si="232"/>
        <v>4</v>
      </c>
      <c r="Q250" s="180">
        <f t="shared" si="280"/>
        <v>1</v>
      </c>
      <c r="R250" s="180">
        <f t="shared" si="280"/>
        <v>1</v>
      </c>
      <c r="S250" s="180">
        <f t="shared" si="280"/>
        <v>1</v>
      </c>
      <c r="T250" s="180">
        <f t="shared" si="280"/>
        <v>1</v>
      </c>
      <c r="U250" s="180">
        <f t="shared" si="280"/>
        <v>1</v>
      </c>
      <c r="V250" s="61">
        <f t="shared" si="233"/>
        <v>45721</v>
      </c>
      <c r="W250" s="124">
        <f t="shared" ref="W250" si="291">WEEKDAY(V250)</f>
        <v>4</v>
      </c>
      <c r="AC250" t="s">
        <v>199</v>
      </c>
      <c r="AD250" s="61">
        <f t="shared" si="238"/>
        <v>45721</v>
      </c>
      <c r="AE250">
        <f t="shared" si="227"/>
        <v>70</v>
      </c>
      <c r="AF250">
        <f t="shared" si="228"/>
        <v>70</v>
      </c>
      <c r="AG250">
        <f t="shared" si="229"/>
        <v>62</v>
      </c>
      <c r="AH250">
        <f t="shared" si="230"/>
        <v>62</v>
      </c>
      <c r="AI250">
        <f t="shared" si="231"/>
        <v>62</v>
      </c>
      <c r="AJ250"/>
    </row>
    <row r="251" spans="15:36" x14ac:dyDescent="0.25">
      <c r="O251" s="61">
        <f t="shared" si="236"/>
        <v>45722</v>
      </c>
      <c r="P251" s="124">
        <f t="shared" si="232"/>
        <v>5</v>
      </c>
      <c r="Q251" s="180">
        <f t="shared" si="280"/>
        <v>1</v>
      </c>
      <c r="R251" s="180">
        <f t="shared" si="280"/>
        <v>1</v>
      </c>
      <c r="S251" s="180">
        <f t="shared" si="280"/>
        <v>1</v>
      </c>
      <c r="T251" s="180">
        <f t="shared" si="280"/>
        <v>1</v>
      </c>
      <c r="U251" s="180">
        <f t="shared" si="280"/>
        <v>1</v>
      </c>
      <c r="V251" s="61">
        <f t="shared" si="233"/>
        <v>45722</v>
      </c>
      <c r="W251" s="124">
        <f t="shared" ref="W251" si="292">WEEKDAY(V251)</f>
        <v>5</v>
      </c>
      <c r="AC251" t="s">
        <v>198</v>
      </c>
      <c r="AD251" s="61">
        <f t="shared" si="238"/>
        <v>45722</v>
      </c>
      <c r="AE251">
        <f t="shared" si="227"/>
        <v>69</v>
      </c>
      <c r="AF251">
        <f t="shared" si="228"/>
        <v>69</v>
      </c>
      <c r="AG251">
        <f t="shared" si="229"/>
        <v>61</v>
      </c>
      <c r="AH251">
        <f t="shared" si="230"/>
        <v>61</v>
      </c>
      <c r="AI251">
        <f t="shared" si="231"/>
        <v>61</v>
      </c>
      <c r="AJ251"/>
    </row>
    <row r="252" spans="15:36" x14ac:dyDescent="0.25">
      <c r="O252" s="61">
        <f t="shared" si="236"/>
        <v>45723</v>
      </c>
      <c r="P252" s="124">
        <f t="shared" si="232"/>
        <v>6</v>
      </c>
      <c r="Q252" s="180">
        <f t="shared" si="280"/>
        <v>1</v>
      </c>
      <c r="R252" s="180">
        <f t="shared" si="280"/>
        <v>1</v>
      </c>
      <c r="S252" s="180">
        <f t="shared" si="280"/>
        <v>1</v>
      </c>
      <c r="T252" s="180">
        <f t="shared" si="280"/>
        <v>1</v>
      </c>
      <c r="U252" s="180">
        <f t="shared" si="280"/>
        <v>1</v>
      </c>
      <c r="V252" s="61">
        <f t="shared" si="233"/>
        <v>45723</v>
      </c>
      <c r="W252" s="124">
        <f t="shared" ref="W252" si="293">WEEKDAY(V252)</f>
        <v>6</v>
      </c>
      <c r="AC252" t="s">
        <v>199</v>
      </c>
      <c r="AD252" s="61">
        <f t="shared" si="238"/>
        <v>45723</v>
      </c>
      <c r="AE252">
        <f t="shared" si="227"/>
        <v>68</v>
      </c>
      <c r="AF252">
        <f t="shared" si="228"/>
        <v>68</v>
      </c>
      <c r="AG252">
        <f t="shared" si="229"/>
        <v>60</v>
      </c>
      <c r="AH252">
        <f t="shared" si="230"/>
        <v>60</v>
      </c>
      <c r="AI252">
        <f t="shared" si="231"/>
        <v>60</v>
      </c>
      <c r="AJ252"/>
    </row>
    <row r="253" spans="15:36" x14ac:dyDescent="0.25">
      <c r="O253" s="61">
        <f t="shared" si="236"/>
        <v>45724</v>
      </c>
      <c r="P253" s="124">
        <f t="shared" si="232"/>
        <v>7</v>
      </c>
      <c r="Q253" s="180" t="str">
        <f t="shared" si="280"/>
        <v/>
      </c>
      <c r="R253" s="180" t="str">
        <f t="shared" si="280"/>
        <v/>
      </c>
      <c r="S253" s="180" t="str">
        <f t="shared" si="280"/>
        <v/>
      </c>
      <c r="T253" s="180" t="str">
        <f t="shared" si="280"/>
        <v/>
      </c>
      <c r="U253" s="180" t="str">
        <f t="shared" si="280"/>
        <v/>
      </c>
      <c r="V253" s="61">
        <f t="shared" si="233"/>
        <v>45724</v>
      </c>
      <c r="W253" s="124">
        <f t="shared" ref="W253" si="294">WEEKDAY(V253)</f>
        <v>7</v>
      </c>
      <c r="AD253" s="61">
        <f t="shared" si="238"/>
        <v>45724</v>
      </c>
      <c r="AE253">
        <f t="shared" si="227"/>
        <v>68</v>
      </c>
      <c r="AF253">
        <f t="shared" si="228"/>
        <v>68</v>
      </c>
      <c r="AG253">
        <f t="shared" si="229"/>
        <v>60</v>
      </c>
      <c r="AH253">
        <f t="shared" si="230"/>
        <v>60</v>
      </c>
      <c r="AI253">
        <f t="shared" si="231"/>
        <v>60</v>
      </c>
      <c r="AJ253"/>
    </row>
    <row r="254" spans="15:36" x14ac:dyDescent="0.25">
      <c r="O254" s="61">
        <f t="shared" si="236"/>
        <v>45725</v>
      </c>
      <c r="P254" s="124">
        <f t="shared" si="232"/>
        <v>1</v>
      </c>
      <c r="Q254" s="180" t="str">
        <f t="shared" si="280"/>
        <v/>
      </c>
      <c r="R254" s="180" t="str">
        <f t="shared" si="280"/>
        <v/>
      </c>
      <c r="S254" s="180" t="str">
        <f t="shared" si="280"/>
        <v/>
      </c>
      <c r="T254" s="180" t="str">
        <f t="shared" si="280"/>
        <v/>
      </c>
      <c r="U254" s="180" t="str">
        <f t="shared" si="280"/>
        <v/>
      </c>
      <c r="V254" s="61">
        <f t="shared" si="233"/>
        <v>45725</v>
      </c>
      <c r="W254" s="124">
        <f t="shared" ref="W254" si="295">WEEKDAY(V254)</f>
        <v>1</v>
      </c>
      <c r="AD254" s="61">
        <f t="shared" si="238"/>
        <v>45725</v>
      </c>
      <c r="AE254">
        <f t="shared" si="227"/>
        <v>68</v>
      </c>
      <c r="AF254">
        <f t="shared" si="228"/>
        <v>68</v>
      </c>
      <c r="AG254">
        <f t="shared" si="229"/>
        <v>60</v>
      </c>
      <c r="AH254">
        <f t="shared" si="230"/>
        <v>60</v>
      </c>
      <c r="AI254">
        <f t="shared" si="231"/>
        <v>60</v>
      </c>
      <c r="AJ254"/>
    </row>
    <row r="255" spans="15:36" x14ac:dyDescent="0.25">
      <c r="O255" s="61">
        <f t="shared" si="236"/>
        <v>45726</v>
      </c>
      <c r="P255" s="124">
        <f t="shared" si="232"/>
        <v>2</v>
      </c>
      <c r="Q255" s="180">
        <f t="shared" si="280"/>
        <v>1</v>
      </c>
      <c r="R255" s="180">
        <f t="shared" si="280"/>
        <v>1</v>
      </c>
      <c r="S255" s="180">
        <f t="shared" si="280"/>
        <v>1</v>
      </c>
      <c r="T255" s="180">
        <f t="shared" si="280"/>
        <v>1</v>
      </c>
      <c r="U255" s="180">
        <f t="shared" si="280"/>
        <v>1</v>
      </c>
      <c r="V255" s="61">
        <f t="shared" si="233"/>
        <v>45726</v>
      </c>
      <c r="W255" s="124">
        <f t="shared" ref="W255" si="296">WEEKDAY(V255)</f>
        <v>2</v>
      </c>
      <c r="AC255" t="s">
        <v>198</v>
      </c>
      <c r="AD255" s="61">
        <f t="shared" si="238"/>
        <v>45726</v>
      </c>
      <c r="AE255">
        <f t="shared" si="227"/>
        <v>67</v>
      </c>
      <c r="AF255">
        <f t="shared" si="228"/>
        <v>67</v>
      </c>
      <c r="AG255">
        <f t="shared" si="229"/>
        <v>59</v>
      </c>
      <c r="AH255">
        <f t="shared" si="230"/>
        <v>59</v>
      </c>
      <c r="AI255">
        <f t="shared" si="231"/>
        <v>59</v>
      </c>
      <c r="AJ255"/>
    </row>
    <row r="256" spans="15:36" x14ac:dyDescent="0.25">
      <c r="O256" s="61">
        <f t="shared" si="236"/>
        <v>45727</v>
      </c>
      <c r="P256" s="124">
        <f t="shared" si="232"/>
        <v>3</v>
      </c>
      <c r="Q256" s="180">
        <f t="shared" si="280"/>
        <v>1</v>
      </c>
      <c r="R256" s="180">
        <f t="shared" si="280"/>
        <v>1</v>
      </c>
      <c r="S256" s="180">
        <f t="shared" si="280"/>
        <v>1</v>
      </c>
      <c r="T256" s="180">
        <f t="shared" si="280"/>
        <v>1</v>
      </c>
      <c r="U256" s="180">
        <f t="shared" si="280"/>
        <v>1</v>
      </c>
      <c r="V256" s="61">
        <f t="shared" si="233"/>
        <v>45727</v>
      </c>
      <c r="W256" s="124">
        <f t="shared" ref="W256" si="297">WEEKDAY(V256)</f>
        <v>3</v>
      </c>
      <c r="AC256" t="s">
        <v>200</v>
      </c>
      <c r="AD256" s="61">
        <f t="shared" si="238"/>
        <v>45727</v>
      </c>
      <c r="AE256">
        <f t="shared" si="227"/>
        <v>66</v>
      </c>
      <c r="AF256">
        <f t="shared" si="228"/>
        <v>66</v>
      </c>
      <c r="AG256">
        <f t="shared" si="229"/>
        <v>58</v>
      </c>
      <c r="AH256">
        <f t="shared" si="230"/>
        <v>58</v>
      </c>
      <c r="AI256">
        <f t="shared" si="231"/>
        <v>58</v>
      </c>
      <c r="AJ256"/>
    </row>
    <row r="257" spans="15:36" x14ac:dyDescent="0.25">
      <c r="O257" s="61">
        <f t="shared" si="236"/>
        <v>45728</v>
      </c>
      <c r="P257" s="124">
        <f t="shared" si="232"/>
        <v>4</v>
      </c>
      <c r="Q257" s="180">
        <f t="shared" si="280"/>
        <v>1</v>
      </c>
      <c r="R257" s="180">
        <f t="shared" si="280"/>
        <v>1</v>
      </c>
      <c r="S257" s="180">
        <f t="shared" si="280"/>
        <v>1</v>
      </c>
      <c r="T257" s="180">
        <f t="shared" si="280"/>
        <v>1</v>
      </c>
      <c r="U257" s="180">
        <f t="shared" si="280"/>
        <v>1</v>
      </c>
      <c r="V257" s="61">
        <f t="shared" si="233"/>
        <v>45728</v>
      </c>
      <c r="W257" s="124">
        <f t="shared" ref="W257" si="298">WEEKDAY(V257)</f>
        <v>4</v>
      </c>
      <c r="AC257" t="s">
        <v>199</v>
      </c>
      <c r="AD257" s="61">
        <f t="shared" si="238"/>
        <v>45728</v>
      </c>
      <c r="AE257">
        <f t="shared" si="227"/>
        <v>65</v>
      </c>
      <c r="AF257">
        <f t="shared" si="228"/>
        <v>65</v>
      </c>
      <c r="AG257">
        <f t="shared" si="229"/>
        <v>57</v>
      </c>
      <c r="AH257">
        <f t="shared" si="230"/>
        <v>57</v>
      </c>
      <c r="AI257">
        <f t="shared" si="231"/>
        <v>57</v>
      </c>
      <c r="AJ257"/>
    </row>
    <row r="258" spans="15:36" x14ac:dyDescent="0.25">
      <c r="O258" s="61">
        <f t="shared" si="236"/>
        <v>45729</v>
      </c>
      <c r="P258" s="124">
        <f t="shared" si="232"/>
        <v>5</v>
      </c>
      <c r="Q258" s="180">
        <f t="shared" si="280"/>
        <v>1</v>
      </c>
      <c r="R258" s="180">
        <f t="shared" si="280"/>
        <v>1</v>
      </c>
      <c r="S258" s="180">
        <f t="shared" si="280"/>
        <v>1</v>
      </c>
      <c r="T258" s="180">
        <f t="shared" si="280"/>
        <v>1</v>
      </c>
      <c r="U258" s="180">
        <f t="shared" si="280"/>
        <v>1</v>
      </c>
      <c r="V258" s="61">
        <f t="shared" si="233"/>
        <v>45729</v>
      </c>
      <c r="W258" s="124">
        <f t="shared" ref="W258" si="299">WEEKDAY(V258)</f>
        <v>5</v>
      </c>
      <c r="AC258" t="s">
        <v>198</v>
      </c>
      <c r="AD258" s="61">
        <f t="shared" si="238"/>
        <v>45729</v>
      </c>
      <c r="AE258">
        <f t="shared" si="227"/>
        <v>64</v>
      </c>
      <c r="AF258">
        <f t="shared" si="228"/>
        <v>64</v>
      </c>
      <c r="AG258">
        <f t="shared" si="229"/>
        <v>56</v>
      </c>
      <c r="AH258">
        <f t="shared" si="230"/>
        <v>56</v>
      </c>
      <c r="AI258">
        <f t="shared" si="231"/>
        <v>56</v>
      </c>
      <c r="AJ258"/>
    </row>
    <row r="259" spans="15:36" x14ac:dyDescent="0.25">
      <c r="O259" s="61">
        <f t="shared" si="236"/>
        <v>45730</v>
      </c>
      <c r="P259" s="124">
        <f t="shared" si="232"/>
        <v>6</v>
      </c>
      <c r="Q259" s="180">
        <f t="shared" si="280"/>
        <v>1</v>
      </c>
      <c r="R259" s="180">
        <f t="shared" si="280"/>
        <v>1</v>
      </c>
      <c r="S259" s="180">
        <f t="shared" si="280"/>
        <v>1</v>
      </c>
      <c r="T259" s="180">
        <f t="shared" si="280"/>
        <v>1</v>
      </c>
      <c r="U259" s="180">
        <f t="shared" si="280"/>
        <v>1</v>
      </c>
      <c r="V259" s="61">
        <f t="shared" si="233"/>
        <v>45730</v>
      </c>
      <c r="W259" s="124">
        <f t="shared" ref="W259" si="300">WEEKDAY(V259)</f>
        <v>6</v>
      </c>
      <c r="X259" t="s">
        <v>480</v>
      </c>
      <c r="Y259" t="s">
        <v>480</v>
      </c>
      <c r="Z259" t="s">
        <v>480</v>
      </c>
      <c r="AA259" t="s">
        <v>480</v>
      </c>
      <c r="AB259" t="s">
        <v>480</v>
      </c>
      <c r="AD259" s="61">
        <f t="shared" si="238"/>
        <v>45730</v>
      </c>
      <c r="AE259">
        <f t="shared" ref="AE259:AE322" si="301">AE258-(IF(Q259=1,1,0))</f>
        <v>63</v>
      </c>
      <c r="AF259">
        <f t="shared" ref="AF259:AF322" si="302">AF258-(IF(R259=1,1,0))</f>
        <v>63</v>
      </c>
      <c r="AG259">
        <f t="shared" ref="AG259:AG322" si="303">AG258-(IF(S259=1,1,0))</f>
        <v>55</v>
      </c>
      <c r="AH259">
        <f t="shared" ref="AH259:AH322" si="304">AH258-(IF(T259=1,1,0))</f>
        <v>55</v>
      </c>
      <c r="AI259">
        <f t="shared" ref="AI259:AI322" si="305">AI258-(IF(U259=1,1,0))</f>
        <v>55</v>
      </c>
      <c r="AJ259"/>
    </row>
    <row r="260" spans="15:36" x14ac:dyDescent="0.25">
      <c r="O260" s="61">
        <f t="shared" si="236"/>
        <v>45731</v>
      </c>
      <c r="P260" s="124">
        <f t="shared" ref="P260:P323" si="306">WEEKDAY(O260)</f>
        <v>7</v>
      </c>
      <c r="Q260" s="180" t="str">
        <f t="shared" si="280"/>
        <v/>
      </c>
      <c r="R260" s="180" t="str">
        <f t="shared" si="280"/>
        <v/>
      </c>
      <c r="S260" s="180" t="str">
        <f t="shared" si="280"/>
        <v/>
      </c>
      <c r="T260" s="180" t="str">
        <f t="shared" si="280"/>
        <v/>
      </c>
      <c r="U260" s="180" t="str">
        <f t="shared" si="280"/>
        <v/>
      </c>
      <c r="V260" s="61">
        <f t="shared" ref="V260:V323" si="307">V259+1</f>
        <v>45731</v>
      </c>
      <c r="W260" s="124">
        <f t="shared" ref="W260" si="308">WEEKDAY(V260)</f>
        <v>7</v>
      </c>
      <c r="AD260" s="61">
        <f t="shared" si="238"/>
        <v>45731</v>
      </c>
      <c r="AE260">
        <f t="shared" si="301"/>
        <v>63</v>
      </c>
      <c r="AF260">
        <f t="shared" si="302"/>
        <v>63</v>
      </c>
      <c r="AG260">
        <f t="shared" si="303"/>
        <v>55</v>
      </c>
      <c r="AH260">
        <f t="shared" si="304"/>
        <v>55</v>
      </c>
      <c r="AI260">
        <f t="shared" si="305"/>
        <v>55</v>
      </c>
      <c r="AJ260"/>
    </row>
    <row r="261" spans="15:36" x14ac:dyDescent="0.25">
      <c r="O261" s="61">
        <f t="shared" si="236"/>
        <v>45732</v>
      </c>
      <c r="P261" s="124">
        <f t="shared" si="306"/>
        <v>1</v>
      </c>
      <c r="Q261" s="180" t="str">
        <f t="shared" si="280"/>
        <v/>
      </c>
      <c r="R261" s="180" t="str">
        <f t="shared" si="280"/>
        <v/>
      </c>
      <c r="S261" s="180" t="str">
        <f t="shared" si="280"/>
        <v/>
      </c>
      <c r="T261" s="180" t="str">
        <f t="shared" si="280"/>
        <v/>
      </c>
      <c r="U261" s="180" t="str">
        <f t="shared" si="280"/>
        <v/>
      </c>
      <c r="V261" s="61">
        <f t="shared" si="307"/>
        <v>45732</v>
      </c>
      <c r="W261" s="124">
        <f t="shared" ref="W261" si="309">WEEKDAY(V261)</f>
        <v>1</v>
      </c>
      <c r="AD261" s="61">
        <f t="shared" si="238"/>
        <v>45732</v>
      </c>
      <c r="AE261">
        <f t="shared" si="301"/>
        <v>63</v>
      </c>
      <c r="AF261">
        <f t="shared" si="302"/>
        <v>63</v>
      </c>
      <c r="AG261">
        <f t="shared" si="303"/>
        <v>55</v>
      </c>
      <c r="AH261">
        <f t="shared" si="304"/>
        <v>55</v>
      </c>
      <c r="AI261">
        <f t="shared" si="305"/>
        <v>55</v>
      </c>
      <c r="AJ261"/>
    </row>
    <row r="262" spans="15:36" x14ac:dyDescent="0.25">
      <c r="O262" s="61">
        <f t="shared" ref="O262:O325" si="310">O261+1</f>
        <v>45733</v>
      </c>
      <c r="P262" s="124">
        <f t="shared" si="306"/>
        <v>2</v>
      </c>
      <c r="Q262" s="180">
        <f t="shared" si="280"/>
        <v>1</v>
      </c>
      <c r="R262" s="180">
        <f t="shared" si="280"/>
        <v>1</v>
      </c>
      <c r="S262" s="180">
        <f t="shared" si="280"/>
        <v>1</v>
      </c>
      <c r="T262" s="180">
        <f t="shared" si="280"/>
        <v>1</v>
      </c>
      <c r="U262" s="180">
        <f t="shared" si="280"/>
        <v>1</v>
      </c>
      <c r="V262" s="61">
        <f t="shared" si="307"/>
        <v>45733</v>
      </c>
      <c r="W262" s="124">
        <f t="shared" ref="W262" si="311">WEEKDAY(V262)</f>
        <v>2</v>
      </c>
      <c r="AC262" t="s">
        <v>199</v>
      </c>
      <c r="AD262" s="61">
        <f t="shared" ref="AD262:AD325" si="312">AD261+1</f>
        <v>45733</v>
      </c>
      <c r="AE262">
        <f t="shared" si="301"/>
        <v>62</v>
      </c>
      <c r="AF262">
        <f t="shared" si="302"/>
        <v>62</v>
      </c>
      <c r="AG262">
        <f t="shared" si="303"/>
        <v>54</v>
      </c>
      <c r="AH262">
        <f t="shared" si="304"/>
        <v>54</v>
      </c>
      <c r="AI262">
        <f t="shared" si="305"/>
        <v>54</v>
      </c>
      <c r="AJ262"/>
    </row>
    <row r="263" spans="15:36" x14ac:dyDescent="0.25">
      <c r="O263" s="61">
        <f t="shared" si="310"/>
        <v>45734</v>
      </c>
      <c r="P263" s="124">
        <f t="shared" si="306"/>
        <v>3</v>
      </c>
      <c r="Q263" s="180">
        <f t="shared" si="280"/>
        <v>1</v>
      </c>
      <c r="R263" s="180">
        <f t="shared" si="280"/>
        <v>1</v>
      </c>
      <c r="S263" s="180">
        <f t="shared" si="280"/>
        <v>1</v>
      </c>
      <c r="T263" s="180">
        <f t="shared" si="280"/>
        <v>1</v>
      </c>
      <c r="U263" s="180">
        <f t="shared" si="280"/>
        <v>1</v>
      </c>
      <c r="V263" s="61">
        <f t="shared" si="307"/>
        <v>45734</v>
      </c>
      <c r="W263" s="124">
        <f t="shared" ref="W263" si="313">WEEKDAY(V263)</f>
        <v>3</v>
      </c>
      <c r="AC263" t="s">
        <v>198</v>
      </c>
      <c r="AD263" s="61">
        <f t="shared" si="312"/>
        <v>45734</v>
      </c>
      <c r="AE263">
        <f t="shared" si="301"/>
        <v>61</v>
      </c>
      <c r="AF263">
        <f t="shared" si="302"/>
        <v>61</v>
      </c>
      <c r="AG263">
        <f t="shared" si="303"/>
        <v>53</v>
      </c>
      <c r="AH263">
        <f t="shared" si="304"/>
        <v>53</v>
      </c>
      <c r="AI263">
        <f t="shared" si="305"/>
        <v>53</v>
      </c>
      <c r="AJ263"/>
    </row>
    <row r="264" spans="15:36" x14ac:dyDescent="0.25">
      <c r="O264" s="61">
        <f t="shared" si="310"/>
        <v>45735</v>
      </c>
      <c r="P264" s="124">
        <f t="shared" si="306"/>
        <v>4</v>
      </c>
      <c r="Q264" s="180">
        <f t="shared" si="280"/>
        <v>1</v>
      </c>
      <c r="R264" s="180">
        <f t="shared" si="280"/>
        <v>1</v>
      </c>
      <c r="S264" s="180">
        <f t="shared" si="280"/>
        <v>1</v>
      </c>
      <c r="T264" s="180">
        <f t="shared" si="280"/>
        <v>1</v>
      </c>
      <c r="U264" s="180">
        <f t="shared" si="280"/>
        <v>1</v>
      </c>
      <c r="V264" s="61">
        <f t="shared" si="307"/>
        <v>45735</v>
      </c>
      <c r="W264" s="124">
        <f t="shared" ref="W264" si="314">WEEKDAY(V264)</f>
        <v>4</v>
      </c>
      <c r="AC264" t="s">
        <v>199</v>
      </c>
      <c r="AD264" s="61">
        <f t="shared" si="312"/>
        <v>45735</v>
      </c>
      <c r="AE264">
        <f t="shared" si="301"/>
        <v>60</v>
      </c>
      <c r="AF264">
        <f t="shared" si="302"/>
        <v>60</v>
      </c>
      <c r="AG264">
        <f t="shared" si="303"/>
        <v>52</v>
      </c>
      <c r="AH264">
        <f t="shared" si="304"/>
        <v>52</v>
      </c>
      <c r="AI264">
        <f t="shared" si="305"/>
        <v>52</v>
      </c>
      <c r="AJ264"/>
    </row>
    <row r="265" spans="15:36" x14ac:dyDescent="0.25">
      <c r="O265" s="61">
        <f t="shared" si="310"/>
        <v>45736</v>
      </c>
      <c r="P265" s="124">
        <f t="shared" si="306"/>
        <v>5</v>
      </c>
      <c r="Q265" s="180">
        <f t="shared" si="280"/>
        <v>1</v>
      </c>
      <c r="R265" s="180">
        <f t="shared" si="280"/>
        <v>1</v>
      </c>
      <c r="S265" s="180">
        <f t="shared" si="280"/>
        <v>1</v>
      </c>
      <c r="T265" s="180">
        <f t="shared" si="280"/>
        <v>1</v>
      </c>
      <c r="U265" s="180">
        <f t="shared" si="280"/>
        <v>1</v>
      </c>
      <c r="V265" s="61">
        <f t="shared" si="307"/>
        <v>45736</v>
      </c>
      <c r="W265" s="124">
        <f t="shared" ref="W265" si="315">WEEKDAY(V265)</f>
        <v>5</v>
      </c>
      <c r="AC265" t="s">
        <v>198</v>
      </c>
      <c r="AD265" s="61">
        <f t="shared" si="312"/>
        <v>45736</v>
      </c>
      <c r="AE265">
        <f t="shared" si="301"/>
        <v>59</v>
      </c>
      <c r="AF265">
        <f t="shared" si="302"/>
        <v>59</v>
      </c>
      <c r="AG265">
        <f t="shared" si="303"/>
        <v>51</v>
      </c>
      <c r="AH265">
        <f t="shared" si="304"/>
        <v>51</v>
      </c>
      <c r="AI265">
        <f t="shared" si="305"/>
        <v>51</v>
      </c>
      <c r="AJ265"/>
    </row>
    <row r="266" spans="15:36" x14ac:dyDescent="0.25">
      <c r="O266" s="61">
        <f t="shared" si="310"/>
        <v>45737</v>
      </c>
      <c r="P266" s="124">
        <f t="shared" si="306"/>
        <v>6</v>
      </c>
      <c r="Q266" s="180">
        <f t="shared" si="280"/>
        <v>1</v>
      </c>
      <c r="R266" s="180">
        <f t="shared" si="280"/>
        <v>1</v>
      </c>
      <c r="S266" s="180">
        <f t="shared" si="280"/>
        <v>1</v>
      </c>
      <c r="T266" s="180">
        <f t="shared" si="280"/>
        <v>1</v>
      </c>
      <c r="U266" s="180">
        <f t="shared" si="280"/>
        <v>1</v>
      </c>
      <c r="V266" s="61">
        <f t="shared" si="307"/>
        <v>45737</v>
      </c>
      <c r="W266" s="124">
        <f t="shared" ref="W266" si="316">WEEKDAY(V266)</f>
        <v>6</v>
      </c>
      <c r="AC266" t="s">
        <v>199</v>
      </c>
      <c r="AD266" s="61">
        <f t="shared" si="312"/>
        <v>45737</v>
      </c>
      <c r="AE266">
        <f t="shared" si="301"/>
        <v>58</v>
      </c>
      <c r="AF266">
        <f t="shared" si="302"/>
        <v>58</v>
      </c>
      <c r="AG266">
        <f t="shared" si="303"/>
        <v>50</v>
      </c>
      <c r="AH266">
        <f t="shared" si="304"/>
        <v>50</v>
      </c>
      <c r="AI266">
        <f t="shared" si="305"/>
        <v>50</v>
      </c>
      <c r="AJ266"/>
    </row>
    <row r="267" spans="15:36" x14ac:dyDescent="0.25">
      <c r="O267" s="61">
        <f t="shared" si="310"/>
        <v>45738</v>
      </c>
      <c r="P267" s="124">
        <f t="shared" si="306"/>
        <v>7</v>
      </c>
      <c r="Q267" s="180" t="str">
        <f t="shared" si="280"/>
        <v/>
      </c>
      <c r="R267" s="180" t="str">
        <f t="shared" si="280"/>
        <v/>
      </c>
      <c r="S267" s="180" t="str">
        <f t="shared" si="280"/>
        <v/>
      </c>
      <c r="T267" s="180" t="str">
        <f t="shared" si="280"/>
        <v/>
      </c>
      <c r="U267" s="180" t="str">
        <f t="shared" si="280"/>
        <v/>
      </c>
      <c r="V267" s="61">
        <f t="shared" si="307"/>
        <v>45738</v>
      </c>
      <c r="W267" s="124">
        <f t="shared" ref="W267" si="317">WEEKDAY(V267)</f>
        <v>7</v>
      </c>
      <c r="AD267" s="61">
        <f t="shared" si="312"/>
        <v>45738</v>
      </c>
      <c r="AE267">
        <f t="shared" si="301"/>
        <v>58</v>
      </c>
      <c r="AF267">
        <f t="shared" si="302"/>
        <v>58</v>
      </c>
      <c r="AG267">
        <f t="shared" si="303"/>
        <v>50</v>
      </c>
      <c r="AH267">
        <f t="shared" si="304"/>
        <v>50</v>
      </c>
      <c r="AI267">
        <f t="shared" si="305"/>
        <v>50</v>
      </c>
      <c r="AJ267"/>
    </row>
    <row r="268" spans="15:36" x14ac:dyDescent="0.25">
      <c r="O268" s="61">
        <f t="shared" si="310"/>
        <v>45739</v>
      </c>
      <c r="P268" s="124">
        <f t="shared" si="306"/>
        <v>1</v>
      </c>
      <c r="Q268" s="180" t="str">
        <f t="shared" si="280"/>
        <v/>
      </c>
      <c r="R268" s="180" t="str">
        <f t="shared" si="280"/>
        <v/>
      </c>
      <c r="S268" s="180" t="str">
        <f t="shared" si="280"/>
        <v/>
      </c>
      <c r="T268" s="180" t="str">
        <f t="shared" si="280"/>
        <v/>
      </c>
      <c r="U268" s="180" t="str">
        <f t="shared" si="280"/>
        <v/>
      </c>
      <c r="V268" s="61">
        <f t="shared" si="307"/>
        <v>45739</v>
      </c>
      <c r="W268" s="124">
        <f t="shared" ref="W268" si="318">WEEKDAY(V268)</f>
        <v>1</v>
      </c>
      <c r="AD268" s="61">
        <f t="shared" si="312"/>
        <v>45739</v>
      </c>
      <c r="AE268">
        <f t="shared" si="301"/>
        <v>58</v>
      </c>
      <c r="AF268">
        <f t="shared" si="302"/>
        <v>58</v>
      </c>
      <c r="AG268">
        <f t="shared" si="303"/>
        <v>50</v>
      </c>
      <c r="AH268">
        <f t="shared" si="304"/>
        <v>50</v>
      </c>
      <c r="AI268">
        <f t="shared" si="305"/>
        <v>50</v>
      </c>
      <c r="AJ268"/>
    </row>
    <row r="269" spans="15:36" x14ac:dyDescent="0.25">
      <c r="O269" s="61">
        <f t="shared" si="310"/>
        <v>45740</v>
      </c>
      <c r="P269" s="124">
        <f t="shared" si="306"/>
        <v>2</v>
      </c>
      <c r="Q269" s="180">
        <f t="shared" si="280"/>
        <v>1</v>
      </c>
      <c r="R269" s="180">
        <f t="shared" si="280"/>
        <v>1</v>
      </c>
      <c r="S269" s="180">
        <f t="shared" si="280"/>
        <v>1</v>
      </c>
      <c r="T269" s="180">
        <f t="shared" si="280"/>
        <v>1</v>
      </c>
      <c r="U269" s="180">
        <f t="shared" si="280"/>
        <v>1</v>
      </c>
      <c r="V269" s="61">
        <f t="shared" si="307"/>
        <v>45740</v>
      </c>
      <c r="W269" s="124">
        <f t="shared" ref="W269" si="319">WEEKDAY(V269)</f>
        <v>2</v>
      </c>
      <c r="AC269" t="s">
        <v>198</v>
      </c>
      <c r="AD269" s="61">
        <f t="shared" si="312"/>
        <v>45740</v>
      </c>
      <c r="AE269">
        <f t="shared" si="301"/>
        <v>57</v>
      </c>
      <c r="AF269">
        <f t="shared" si="302"/>
        <v>57</v>
      </c>
      <c r="AG269">
        <f t="shared" si="303"/>
        <v>49</v>
      </c>
      <c r="AH269">
        <f t="shared" si="304"/>
        <v>49</v>
      </c>
      <c r="AI269">
        <f t="shared" si="305"/>
        <v>49</v>
      </c>
      <c r="AJ269"/>
    </row>
    <row r="270" spans="15:36" x14ac:dyDescent="0.25">
      <c r="O270" s="61">
        <f t="shared" si="310"/>
        <v>45741</v>
      </c>
      <c r="P270" s="124">
        <f t="shared" si="306"/>
        <v>3</v>
      </c>
      <c r="Q270" s="180">
        <f t="shared" si="280"/>
        <v>1</v>
      </c>
      <c r="R270" s="180">
        <f t="shared" si="280"/>
        <v>1</v>
      </c>
      <c r="S270" s="180">
        <f t="shared" si="280"/>
        <v>1</v>
      </c>
      <c r="T270" s="180">
        <f t="shared" si="280"/>
        <v>1</v>
      </c>
      <c r="U270" s="180">
        <f t="shared" si="280"/>
        <v>1</v>
      </c>
      <c r="V270" s="61">
        <f t="shared" si="307"/>
        <v>45741</v>
      </c>
      <c r="W270" s="124">
        <f t="shared" ref="W270" si="320">WEEKDAY(V270)</f>
        <v>3</v>
      </c>
      <c r="AC270" t="s">
        <v>199</v>
      </c>
      <c r="AD270" s="61">
        <f t="shared" si="312"/>
        <v>45741</v>
      </c>
      <c r="AE270">
        <f t="shared" si="301"/>
        <v>56</v>
      </c>
      <c r="AF270">
        <f t="shared" si="302"/>
        <v>56</v>
      </c>
      <c r="AG270">
        <f t="shared" si="303"/>
        <v>48</v>
      </c>
      <c r="AH270">
        <f t="shared" si="304"/>
        <v>48</v>
      </c>
      <c r="AI270">
        <f t="shared" si="305"/>
        <v>48</v>
      </c>
      <c r="AJ270"/>
    </row>
    <row r="271" spans="15:36" x14ac:dyDescent="0.25">
      <c r="O271" s="61">
        <f t="shared" si="310"/>
        <v>45742</v>
      </c>
      <c r="P271" s="124">
        <f t="shared" si="306"/>
        <v>4</v>
      </c>
      <c r="Q271" s="180">
        <f t="shared" si="280"/>
        <v>1</v>
      </c>
      <c r="R271" s="180">
        <f t="shared" si="280"/>
        <v>1</v>
      </c>
      <c r="S271" s="180">
        <f t="shared" si="280"/>
        <v>1</v>
      </c>
      <c r="T271" s="180">
        <f t="shared" si="280"/>
        <v>1</v>
      </c>
      <c r="U271" s="180">
        <f t="shared" si="280"/>
        <v>1</v>
      </c>
      <c r="V271" s="61">
        <f t="shared" si="307"/>
        <v>45742</v>
      </c>
      <c r="W271" s="124">
        <f t="shared" ref="W271" si="321">WEEKDAY(V271)</f>
        <v>4</v>
      </c>
      <c r="AC271" t="s">
        <v>198</v>
      </c>
      <c r="AD271" s="61">
        <f t="shared" si="312"/>
        <v>45742</v>
      </c>
      <c r="AE271">
        <f t="shared" si="301"/>
        <v>55</v>
      </c>
      <c r="AF271">
        <f t="shared" si="302"/>
        <v>55</v>
      </c>
      <c r="AG271">
        <f t="shared" si="303"/>
        <v>47</v>
      </c>
      <c r="AH271">
        <f t="shared" si="304"/>
        <v>47</v>
      </c>
      <c r="AI271">
        <f t="shared" si="305"/>
        <v>47</v>
      </c>
      <c r="AJ271"/>
    </row>
    <row r="272" spans="15:36" x14ac:dyDescent="0.25">
      <c r="O272" s="61">
        <f t="shared" si="310"/>
        <v>45743</v>
      </c>
      <c r="P272" s="124">
        <f t="shared" si="306"/>
        <v>5</v>
      </c>
      <c r="Q272" s="180">
        <f t="shared" si="280"/>
        <v>1</v>
      </c>
      <c r="R272" s="180">
        <f t="shared" si="280"/>
        <v>1</v>
      </c>
      <c r="S272" s="180">
        <f t="shared" si="280"/>
        <v>1</v>
      </c>
      <c r="T272" s="180">
        <f t="shared" si="280"/>
        <v>1</v>
      </c>
      <c r="U272" s="180">
        <f t="shared" si="280"/>
        <v>1</v>
      </c>
      <c r="V272" s="61">
        <f t="shared" si="307"/>
        <v>45743</v>
      </c>
      <c r="W272" s="124">
        <f t="shared" ref="W272" si="322">WEEKDAY(V272)</f>
        <v>5</v>
      </c>
      <c r="AC272" t="s">
        <v>199</v>
      </c>
      <c r="AD272" s="61">
        <f t="shared" si="312"/>
        <v>45743</v>
      </c>
      <c r="AE272">
        <f t="shared" si="301"/>
        <v>54</v>
      </c>
      <c r="AF272">
        <f t="shared" si="302"/>
        <v>54</v>
      </c>
      <c r="AG272">
        <f t="shared" si="303"/>
        <v>46</v>
      </c>
      <c r="AH272">
        <f t="shared" si="304"/>
        <v>46</v>
      </c>
      <c r="AI272">
        <f t="shared" si="305"/>
        <v>46</v>
      </c>
      <c r="AJ272"/>
    </row>
    <row r="273" spans="15:36" x14ac:dyDescent="0.25">
      <c r="O273" s="61">
        <f t="shared" si="310"/>
        <v>45744</v>
      </c>
      <c r="P273" s="124">
        <f t="shared" si="306"/>
        <v>6</v>
      </c>
      <c r="Q273" s="180">
        <f t="shared" si="280"/>
        <v>1</v>
      </c>
      <c r="R273" s="180">
        <f t="shared" si="280"/>
        <v>1</v>
      </c>
      <c r="S273" s="180">
        <f t="shared" si="280"/>
        <v>1</v>
      </c>
      <c r="T273" s="180">
        <f t="shared" si="280"/>
        <v>1</v>
      </c>
      <c r="U273" s="180">
        <f t="shared" si="280"/>
        <v>1</v>
      </c>
      <c r="V273" s="61">
        <f t="shared" si="307"/>
        <v>45744</v>
      </c>
      <c r="W273" s="124">
        <f t="shared" ref="W273" si="323">WEEKDAY(V273)</f>
        <v>6</v>
      </c>
      <c r="AC273" t="s">
        <v>198</v>
      </c>
      <c r="AD273" s="61">
        <f t="shared" si="312"/>
        <v>45744</v>
      </c>
      <c r="AE273">
        <f t="shared" si="301"/>
        <v>53</v>
      </c>
      <c r="AF273">
        <f t="shared" si="302"/>
        <v>53</v>
      </c>
      <c r="AG273">
        <f t="shared" si="303"/>
        <v>45</v>
      </c>
      <c r="AH273">
        <f t="shared" si="304"/>
        <v>45</v>
      </c>
      <c r="AI273">
        <f t="shared" si="305"/>
        <v>45</v>
      </c>
      <c r="AJ273"/>
    </row>
    <row r="274" spans="15:36" x14ac:dyDescent="0.25">
      <c r="O274" s="61">
        <f t="shared" si="310"/>
        <v>45745</v>
      </c>
      <c r="P274" s="124">
        <f t="shared" si="306"/>
        <v>7</v>
      </c>
      <c r="Q274" s="180" t="str">
        <f t="shared" si="280"/>
        <v/>
      </c>
      <c r="R274" s="180" t="str">
        <f t="shared" si="280"/>
        <v/>
      </c>
      <c r="S274" s="180" t="str">
        <f t="shared" si="280"/>
        <v/>
      </c>
      <c r="T274" s="180" t="str">
        <f t="shared" si="280"/>
        <v/>
      </c>
      <c r="U274" s="180" t="str">
        <f t="shared" si="280"/>
        <v/>
      </c>
      <c r="V274" s="61">
        <f t="shared" si="307"/>
        <v>45745</v>
      </c>
      <c r="W274" s="124">
        <f t="shared" ref="W274" si="324">WEEKDAY(V274)</f>
        <v>7</v>
      </c>
      <c r="AD274" s="61">
        <f t="shared" si="312"/>
        <v>45745</v>
      </c>
      <c r="AE274">
        <f t="shared" si="301"/>
        <v>53</v>
      </c>
      <c r="AF274">
        <f t="shared" si="302"/>
        <v>53</v>
      </c>
      <c r="AG274">
        <f t="shared" si="303"/>
        <v>45</v>
      </c>
      <c r="AH274">
        <f t="shared" si="304"/>
        <v>45</v>
      </c>
      <c r="AI274">
        <f t="shared" si="305"/>
        <v>45</v>
      </c>
      <c r="AJ274"/>
    </row>
    <row r="275" spans="15:36" x14ac:dyDescent="0.25">
      <c r="O275" s="61">
        <f t="shared" si="310"/>
        <v>45746</v>
      </c>
      <c r="P275" s="124">
        <f t="shared" si="306"/>
        <v>1</v>
      </c>
      <c r="Q275" s="180" t="str">
        <f t="shared" si="280"/>
        <v/>
      </c>
      <c r="R275" s="180" t="str">
        <f t="shared" si="280"/>
        <v/>
      </c>
      <c r="S275" s="180" t="str">
        <f t="shared" si="280"/>
        <v/>
      </c>
      <c r="T275" s="180" t="str">
        <f t="shared" si="280"/>
        <v/>
      </c>
      <c r="U275" s="180" t="str">
        <f t="shared" si="280"/>
        <v/>
      </c>
      <c r="V275" s="61">
        <f t="shared" si="307"/>
        <v>45746</v>
      </c>
      <c r="W275" s="124">
        <f t="shared" ref="W275" si="325">WEEKDAY(V275)</f>
        <v>1</v>
      </c>
      <c r="AD275" s="61">
        <f t="shared" si="312"/>
        <v>45746</v>
      </c>
      <c r="AE275">
        <f t="shared" si="301"/>
        <v>53</v>
      </c>
      <c r="AF275">
        <f t="shared" si="302"/>
        <v>53</v>
      </c>
      <c r="AG275">
        <f t="shared" si="303"/>
        <v>45</v>
      </c>
      <c r="AH275">
        <f t="shared" si="304"/>
        <v>45</v>
      </c>
      <c r="AI275">
        <f t="shared" si="305"/>
        <v>45</v>
      </c>
      <c r="AJ275"/>
    </row>
    <row r="276" spans="15:36" x14ac:dyDescent="0.25">
      <c r="O276" s="61">
        <f t="shared" si="310"/>
        <v>45747</v>
      </c>
      <c r="P276" s="124">
        <f t="shared" si="306"/>
        <v>2</v>
      </c>
      <c r="Q276" s="180" t="s">
        <v>155</v>
      </c>
      <c r="R276" s="180" t="s">
        <v>155</v>
      </c>
      <c r="S276" s="180" t="s">
        <v>155</v>
      </c>
      <c r="T276" s="180" t="s">
        <v>155</v>
      </c>
      <c r="U276" s="180" t="s">
        <v>155</v>
      </c>
      <c r="V276" s="61">
        <f t="shared" si="307"/>
        <v>45747</v>
      </c>
      <c r="W276" s="124">
        <f t="shared" ref="W276" si="326">WEEKDAY(V276)</f>
        <v>2</v>
      </c>
      <c r="X276" t="s">
        <v>479</v>
      </c>
      <c r="Y276" t="s">
        <v>479</v>
      </c>
      <c r="Z276" t="s">
        <v>479</v>
      </c>
      <c r="AA276" t="s">
        <v>479</v>
      </c>
      <c r="AB276" t="s">
        <v>479</v>
      </c>
      <c r="AD276" s="61">
        <f t="shared" si="312"/>
        <v>45747</v>
      </c>
      <c r="AE276">
        <f t="shared" si="301"/>
        <v>53</v>
      </c>
      <c r="AF276">
        <f t="shared" si="302"/>
        <v>53</v>
      </c>
      <c r="AG276">
        <f t="shared" si="303"/>
        <v>45</v>
      </c>
      <c r="AH276">
        <f t="shared" si="304"/>
        <v>45</v>
      </c>
      <c r="AI276">
        <f t="shared" si="305"/>
        <v>45</v>
      </c>
      <c r="AJ276"/>
    </row>
    <row r="277" spans="15:36" x14ac:dyDescent="0.25">
      <c r="O277" s="61">
        <f t="shared" si="310"/>
        <v>45748</v>
      </c>
      <c r="P277" s="124">
        <f t="shared" si="306"/>
        <v>3</v>
      </c>
      <c r="Q277" s="180" t="s">
        <v>177</v>
      </c>
      <c r="R277" s="180" t="s">
        <v>177</v>
      </c>
      <c r="S277" s="180" t="s">
        <v>177</v>
      </c>
      <c r="T277" s="180" t="s">
        <v>177</v>
      </c>
      <c r="U277" s="180" t="s">
        <v>177</v>
      </c>
      <c r="V277" s="61">
        <f t="shared" si="307"/>
        <v>45748</v>
      </c>
      <c r="W277" s="124">
        <f t="shared" ref="W277" si="327">WEEKDAY(V277)</f>
        <v>3</v>
      </c>
      <c r="AD277" s="61">
        <f t="shared" si="312"/>
        <v>45748</v>
      </c>
      <c r="AE277">
        <f t="shared" si="301"/>
        <v>53</v>
      </c>
      <c r="AF277">
        <f t="shared" si="302"/>
        <v>53</v>
      </c>
      <c r="AG277">
        <f t="shared" si="303"/>
        <v>45</v>
      </c>
      <c r="AH277">
        <f t="shared" si="304"/>
        <v>45</v>
      </c>
      <c r="AI277">
        <f t="shared" si="305"/>
        <v>45</v>
      </c>
      <c r="AJ277"/>
    </row>
    <row r="278" spans="15:36" x14ac:dyDescent="0.25">
      <c r="O278" s="61">
        <f t="shared" si="310"/>
        <v>45749</v>
      </c>
      <c r="P278" s="124">
        <f t="shared" si="306"/>
        <v>4</v>
      </c>
      <c r="Q278" s="180" t="s">
        <v>177</v>
      </c>
      <c r="R278" s="180" t="s">
        <v>177</v>
      </c>
      <c r="S278" s="180" t="s">
        <v>177</v>
      </c>
      <c r="T278" s="180" t="s">
        <v>177</v>
      </c>
      <c r="U278" s="180" t="s">
        <v>177</v>
      </c>
      <c r="V278" s="61">
        <f t="shared" si="307"/>
        <v>45749</v>
      </c>
      <c r="W278" s="124">
        <f t="shared" ref="W278" si="328">WEEKDAY(V278)</f>
        <v>4</v>
      </c>
      <c r="AD278" s="61">
        <f t="shared" si="312"/>
        <v>45749</v>
      </c>
      <c r="AE278">
        <f t="shared" si="301"/>
        <v>53</v>
      </c>
      <c r="AF278">
        <f t="shared" si="302"/>
        <v>53</v>
      </c>
      <c r="AG278">
        <f t="shared" si="303"/>
        <v>45</v>
      </c>
      <c r="AH278">
        <f t="shared" si="304"/>
        <v>45</v>
      </c>
      <c r="AI278">
        <f t="shared" si="305"/>
        <v>45</v>
      </c>
      <c r="AJ278"/>
    </row>
    <row r="279" spans="15:36" x14ac:dyDescent="0.25">
      <c r="O279" s="61">
        <f t="shared" si="310"/>
        <v>45750</v>
      </c>
      <c r="P279" s="124">
        <f t="shared" si="306"/>
        <v>5</v>
      </c>
      <c r="Q279" s="180" t="s">
        <v>177</v>
      </c>
      <c r="R279" s="180" t="s">
        <v>177</v>
      </c>
      <c r="S279" s="180" t="s">
        <v>177</v>
      </c>
      <c r="T279" s="180" t="s">
        <v>177</v>
      </c>
      <c r="U279" s="180" t="s">
        <v>177</v>
      </c>
      <c r="V279" s="61">
        <f t="shared" si="307"/>
        <v>45750</v>
      </c>
      <c r="W279" s="124">
        <f t="shared" ref="W279" si="329">WEEKDAY(V279)</f>
        <v>5</v>
      </c>
      <c r="AD279" s="61">
        <f t="shared" si="312"/>
        <v>45750</v>
      </c>
      <c r="AE279">
        <f t="shared" si="301"/>
        <v>53</v>
      </c>
      <c r="AF279">
        <f t="shared" si="302"/>
        <v>53</v>
      </c>
      <c r="AG279">
        <f t="shared" si="303"/>
        <v>45</v>
      </c>
      <c r="AH279">
        <f t="shared" si="304"/>
        <v>45</v>
      </c>
      <c r="AI279">
        <f t="shared" si="305"/>
        <v>45</v>
      </c>
      <c r="AJ279"/>
    </row>
    <row r="280" spans="15:36" x14ac:dyDescent="0.25">
      <c r="O280" s="61">
        <f t="shared" si="310"/>
        <v>45751</v>
      </c>
      <c r="P280" s="124">
        <f t="shared" si="306"/>
        <v>6</v>
      </c>
      <c r="Q280" s="180" t="s">
        <v>177</v>
      </c>
      <c r="R280" s="180" t="s">
        <v>177</v>
      </c>
      <c r="S280" s="180" t="s">
        <v>177</v>
      </c>
      <c r="T280" s="180" t="s">
        <v>177</v>
      </c>
      <c r="U280" s="180" t="s">
        <v>177</v>
      </c>
      <c r="V280" s="61">
        <f t="shared" si="307"/>
        <v>45751</v>
      </c>
      <c r="W280" s="124">
        <f t="shared" ref="W280" si="330">WEEKDAY(V280)</f>
        <v>6</v>
      </c>
      <c r="AD280" s="61">
        <f t="shared" si="312"/>
        <v>45751</v>
      </c>
      <c r="AE280">
        <f t="shared" si="301"/>
        <v>53</v>
      </c>
      <c r="AF280">
        <f t="shared" si="302"/>
        <v>53</v>
      </c>
      <c r="AG280">
        <f t="shared" si="303"/>
        <v>45</v>
      </c>
      <c r="AH280">
        <f t="shared" si="304"/>
        <v>45</v>
      </c>
      <c r="AI280">
        <f t="shared" si="305"/>
        <v>45</v>
      </c>
      <c r="AJ280"/>
    </row>
    <row r="281" spans="15:36" x14ac:dyDescent="0.25">
      <c r="O281" s="61">
        <f t="shared" si="310"/>
        <v>45752</v>
      </c>
      <c r="P281" s="124">
        <f t="shared" si="306"/>
        <v>7</v>
      </c>
      <c r="Q281" s="180" t="str">
        <f t="shared" si="280"/>
        <v/>
      </c>
      <c r="R281" s="180" t="str">
        <f t="shared" si="280"/>
        <v/>
      </c>
      <c r="S281" s="180" t="str">
        <f t="shared" si="280"/>
        <v/>
      </c>
      <c r="T281" s="180" t="str">
        <f t="shared" si="280"/>
        <v/>
      </c>
      <c r="U281" s="180" t="str">
        <f t="shared" si="280"/>
        <v/>
      </c>
      <c r="V281" s="61">
        <f t="shared" si="307"/>
        <v>45752</v>
      </c>
      <c r="W281" s="124">
        <f t="shared" ref="W281" si="331">WEEKDAY(V281)</f>
        <v>7</v>
      </c>
      <c r="AD281" s="61">
        <f t="shared" si="312"/>
        <v>45752</v>
      </c>
      <c r="AE281">
        <f t="shared" si="301"/>
        <v>53</v>
      </c>
      <c r="AF281">
        <f t="shared" si="302"/>
        <v>53</v>
      </c>
      <c r="AG281">
        <f t="shared" si="303"/>
        <v>45</v>
      </c>
      <c r="AH281">
        <f t="shared" si="304"/>
        <v>45</v>
      </c>
      <c r="AI281">
        <f t="shared" si="305"/>
        <v>45</v>
      </c>
      <c r="AJ281"/>
    </row>
    <row r="282" spans="15:36" x14ac:dyDescent="0.25">
      <c r="O282" s="61">
        <f t="shared" si="310"/>
        <v>45753</v>
      </c>
      <c r="P282" s="124">
        <f t="shared" si="306"/>
        <v>1</v>
      </c>
      <c r="Q282" s="180" t="str">
        <f t="shared" si="280"/>
        <v/>
      </c>
      <c r="R282" s="180" t="str">
        <f t="shared" si="280"/>
        <v/>
      </c>
      <c r="S282" s="180" t="str">
        <f t="shared" si="280"/>
        <v/>
      </c>
      <c r="T282" s="180" t="str">
        <f t="shared" si="280"/>
        <v/>
      </c>
      <c r="U282" s="180" t="str">
        <f t="shared" si="280"/>
        <v/>
      </c>
      <c r="V282" s="61">
        <f t="shared" si="307"/>
        <v>45753</v>
      </c>
      <c r="W282" s="124">
        <f t="shared" ref="W282" si="332">WEEKDAY(V282)</f>
        <v>1</v>
      </c>
      <c r="AD282" s="61">
        <f t="shared" si="312"/>
        <v>45753</v>
      </c>
      <c r="AE282">
        <f t="shared" si="301"/>
        <v>53</v>
      </c>
      <c r="AF282">
        <f t="shared" si="302"/>
        <v>53</v>
      </c>
      <c r="AG282">
        <f t="shared" si="303"/>
        <v>45</v>
      </c>
      <c r="AH282">
        <f t="shared" si="304"/>
        <v>45</v>
      </c>
      <c r="AI282">
        <f t="shared" si="305"/>
        <v>45</v>
      </c>
      <c r="AJ282"/>
    </row>
    <row r="283" spans="15:36" x14ac:dyDescent="0.25">
      <c r="O283" s="61">
        <f t="shared" si="310"/>
        <v>45754</v>
      </c>
      <c r="P283" s="124">
        <f t="shared" si="306"/>
        <v>2</v>
      </c>
      <c r="Q283" s="180">
        <f t="shared" si="280"/>
        <v>1</v>
      </c>
      <c r="R283" s="180">
        <f t="shared" si="280"/>
        <v>1</v>
      </c>
      <c r="S283" s="180">
        <f t="shared" si="280"/>
        <v>1</v>
      </c>
      <c r="T283" s="180">
        <f t="shared" si="280"/>
        <v>1</v>
      </c>
      <c r="U283" s="180">
        <f t="shared" si="280"/>
        <v>1</v>
      </c>
      <c r="V283" s="61">
        <f t="shared" si="307"/>
        <v>45754</v>
      </c>
      <c r="W283" s="124">
        <f t="shared" ref="W283" si="333">WEEKDAY(V283)</f>
        <v>2</v>
      </c>
      <c r="AC283" t="s">
        <v>199</v>
      </c>
      <c r="AD283" s="61">
        <f t="shared" si="312"/>
        <v>45754</v>
      </c>
      <c r="AE283">
        <f t="shared" si="301"/>
        <v>52</v>
      </c>
      <c r="AF283">
        <f t="shared" si="302"/>
        <v>52</v>
      </c>
      <c r="AG283">
        <f t="shared" si="303"/>
        <v>44</v>
      </c>
      <c r="AH283">
        <f t="shared" si="304"/>
        <v>44</v>
      </c>
      <c r="AI283">
        <f t="shared" si="305"/>
        <v>44</v>
      </c>
      <c r="AJ283"/>
    </row>
    <row r="284" spans="15:36" x14ac:dyDescent="0.25">
      <c r="O284" s="61">
        <f t="shared" si="310"/>
        <v>45755</v>
      </c>
      <c r="P284" s="124">
        <f t="shared" si="306"/>
        <v>3</v>
      </c>
      <c r="Q284" s="180">
        <f t="shared" si="280"/>
        <v>1</v>
      </c>
      <c r="R284" s="180">
        <f t="shared" si="280"/>
        <v>1</v>
      </c>
      <c r="S284" s="180">
        <f t="shared" si="280"/>
        <v>1</v>
      </c>
      <c r="T284" s="180">
        <f t="shared" si="280"/>
        <v>1</v>
      </c>
      <c r="U284" s="180">
        <f t="shared" si="280"/>
        <v>1</v>
      </c>
      <c r="V284" s="61">
        <f t="shared" si="307"/>
        <v>45755</v>
      </c>
      <c r="W284" s="124">
        <f t="shared" ref="W284" si="334">WEEKDAY(V284)</f>
        <v>3</v>
      </c>
      <c r="AC284" t="s">
        <v>198</v>
      </c>
      <c r="AD284" s="61">
        <f t="shared" si="312"/>
        <v>45755</v>
      </c>
      <c r="AE284">
        <f t="shared" si="301"/>
        <v>51</v>
      </c>
      <c r="AF284">
        <f t="shared" si="302"/>
        <v>51</v>
      </c>
      <c r="AG284">
        <f t="shared" si="303"/>
        <v>43</v>
      </c>
      <c r="AH284">
        <f t="shared" si="304"/>
        <v>43</v>
      </c>
      <c r="AI284">
        <f t="shared" si="305"/>
        <v>43</v>
      </c>
      <c r="AJ284"/>
    </row>
    <row r="285" spans="15:36" x14ac:dyDescent="0.25">
      <c r="O285" s="61">
        <f t="shared" si="310"/>
        <v>45756</v>
      </c>
      <c r="P285" s="124">
        <f t="shared" si="306"/>
        <v>4</v>
      </c>
      <c r="Q285" s="180">
        <f t="shared" si="280"/>
        <v>1</v>
      </c>
      <c r="R285" s="180">
        <f t="shared" si="280"/>
        <v>1</v>
      </c>
      <c r="S285" s="180">
        <f t="shared" si="280"/>
        <v>1</v>
      </c>
      <c r="T285" s="180">
        <f t="shared" si="280"/>
        <v>1</v>
      </c>
      <c r="U285" s="180">
        <f t="shared" si="280"/>
        <v>1</v>
      </c>
      <c r="V285" s="61">
        <f t="shared" si="307"/>
        <v>45756</v>
      </c>
      <c r="W285" s="124">
        <f t="shared" ref="W285" si="335">WEEKDAY(V285)</f>
        <v>4</v>
      </c>
      <c r="AC285" t="s">
        <v>199</v>
      </c>
      <c r="AD285" s="61">
        <f t="shared" si="312"/>
        <v>45756</v>
      </c>
      <c r="AE285">
        <f t="shared" si="301"/>
        <v>50</v>
      </c>
      <c r="AF285">
        <f t="shared" si="302"/>
        <v>50</v>
      </c>
      <c r="AG285">
        <f t="shared" si="303"/>
        <v>42</v>
      </c>
      <c r="AH285">
        <f t="shared" si="304"/>
        <v>42</v>
      </c>
      <c r="AI285">
        <f t="shared" si="305"/>
        <v>42</v>
      </c>
      <c r="AJ285"/>
    </row>
    <row r="286" spans="15:36" x14ac:dyDescent="0.25">
      <c r="O286" s="61">
        <f t="shared" si="310"/>
        <v>45757</v>
      </c>
      <c r="P286" s="124">
        <f t="shared" si="306"/>
        <v>5</v>
      </c>
      <c r="Q286" s="180">
        <f t="shared" si="280"/>
        <v>1</v>
      </c>
      <c r="R286" s="180">
        <f t="shared" si="280"/>
        <v>1</v>
      </c>
      <c r="S286" s="180">
        <f t="shared" si="280"/>
        <v>1</v>
      </c>
      <c r="T286" s="180">
        <f t="shared" si="280"/>
        <v>1</v>
      </c>
      <c r="U286" s="180">
        <f t="shared" si="280"/>
        <v>1</v>
      </c>
      <c r="V286" s="61">
        <f t="shared" si="307"/>
        <v>45757</v>
      </c>
      <c r="W286" s="124">
        <f t="shared" ref="W286" si="336">WEEKDAY(V286)</f>
        <v>5</v>
      </c>
      <c r="AC286" t="s">
        <v>198</v>
      </c>
      <c r="AD286" s="61">
        <f t="shared" si="312"/>
        <v>45757</v>
      </c>
      <c r="AE286">
        <f t="shared" si="301"/>
        <v>49</v>
      </c>
      <c r="AF286">
        <f t="shared" si="302"/>
        <v>49</v>
      </c>
      <c r="AG286">
        <f t="shared" si="303"/>
        <v>41</v>
      </c>
      <c r="AH286">
        <f t="shared" si="304"/>
        <v>41</v>
      </c>
      <c r="AI286">
        <f t="shared" si="305"/>
        <v>41</v>
      </c>
      <c r="AJ286"/>
    </row>
    <row r="287" spans="15:36" x14ac:dyDescent="0.25">
      <c r="O287" s="61">
        <f t="shared" si="310"/>
        <v>45758</v>
      </c>
      <c r="P287" s="124">
        <f t="shared" si="306"/>
        <v>6</v>
      </c>
      <c r="Q287" s="180">
        <f t="shared" si="280"/>
        <v>1</v>
      </c>
      <c r="R287" s="180">
        <f t="shared" si="280"/>
        <v>1</v>
      </c>
      <c r="S287" s="180">
        <f t="shared" si="280"/>
        <v>1</v>
      </c>
      <c r="T287" s="180">
        <f t="shared" si="280"/>
        <v>1</v>
      </c>
      <c r="U287" s="180">
        <f t="shared" si="280"/>
        <v>1</v>
      </c>
      <c r="V287" s="61">
        <f t="shared" si="307"/>
        <v>45758</v>
      </c>
      <c r="W287" s="124">
        <f t="shared" ref="W287" si="337">WEEKDAY(V287)</f>
        <v>6</v>
      </c>
      <c r="AC287" t="s">
        <v>199</v>
      </c>
      <c r="AD287" s="61">
        <f t="shared" si="312"/>
        <v>45758</v>
      </c>
      <c r="AE287">
        <f t="shared" si="301"/>
        <v>48</v>
      </c>
      <c r="AF287">
        <f t="shared" si="302"/>
        <v>48</v>
      </c>
      <c r="AG287">
        <f t="shared" si="303"/>
        <v>40</v>
      </c>
      <c r="AH287">
        <f t="shared" si="304"/>
        <v>40</v>
      </c>
      <c r="AI287">
        <f t="shared" si="305"/>
        <v>40</v>
      </c>
      <c r="AJ287"/>
    </row>
    <row r="288" spans="15:36" x14ac:dyDescent="0.25">
      <c r="O288" s="61">
        <f t="shared" si="310"/>
        <v>45759</v>
      </c>
      <c r="P288" s="124">
        <f t="shared" si="306"/>
        <v>7</v>
      </c>
      <c r="Q288" s="180" t="str">
        <f t="shared" si="280"/>
        <v/>
      </c>
      <c r="R288" s="180" t="str">
        <f t="shared" si="280"/>
        <v/>
      </c>
      <c r="S288" s="180" t="str">
        <f t="shared" si="280"/>
        <v/>
      </c>
      <c r="T288" s="180" t="str">
        <f t="shared" si="280"/>
        <v/>
      </c>
      <c r="U288" s="180" t="str">
        <f t="shared" si="280"/>
        <v/>
      </c>
      <c r="V288" s="61">
        <f t="shared" si="307"/>
        <v>45759</v>
      </c>
      <c r="W288" s="124">
        <f t="shared" ref="W288" si="338">WEEKDAY(V288)</f>
        <v>7</v>
      </c>
      <c r="AD288" s="61">
        <f t="shared" si="312"/>
        <v>45759</v>
      </c>
      <c r="AE288">
        <f t="shared" si="301"/>
        <v>48</v>
      </c>
      <c r="AF288">
        <f t="shared" si="302"/>
        <v>48</v>
      </c>
      <c r="AG288">
        <f t="shared" si="303"/>
        <v>40</v>
      </c>
      <c r="AH288">
        <f t="shared" si="304"/>
        <v>40</v>
      </c>
      <c r="AI288">
        <f t="shared" si="305"/>
        <v>40</v>
      </c>
      <c r="AJ288"/>
    </row>
    <row r="289" spans="15:36" x14ac:dyDescent="0.25">
      <c r="O289" s="61">
        <f t="shared" si="310"/>
        <v>45760</v>
      </c>
      <c r="P289" s="124">
        <f t="shared" si="306"/>
        <v>1</v>
      </c>
      <c r="Q289" s="180" t="str">
        <f t="shared" si="280"/>
        <v/>
      </c>
      <c r="R289" s="180" t="str">
        <f t="shared" si="280"/>
        <v/>
      </c>
      <c r="S289" s="180" t="str">
        <f t="shared" si="280"/>
        <v/>
      </c>
      <c r="T289" s="180" t="str">
        <f t="shared" si="280"/>
        <v/>
      </c>
      <c r="U289" s="180" t="str">
        <f t="shared" si="280"/>
        <v/>
      </c>
      <c r="V289" s="61">
        <f t="shared" si="307"/>
        <v>45760</v>
      </c>
      <c r="W289" s="124">
        <f t="shared" ref="W289" si="339">WEEKDAY(V289)</f>
        <v>1</v>
      </c>
      <c r="AD289" s="61">
        <f t="shared" si="312"/>
        <v>45760</v>
      </c>
      <c r="AE289">
        <f t="shared" si="301"/>
        <v>48</v>
      </c>
      <c r="AF289">
        <f t="shared" si="302"/>
        <v>48</v>
      </c>
      <c r="AG289">
        <f t="shared" si="303"/>
        <v>40</v>
      </c>
      <c r="AH289">
        <f t="shared" si="304"/>
        <v>40</v>
      </c>
      <c r="AI289">
        <f t="shared" si="305"/>
        <v>40</v>
      </c>
      <c r="AJ289"/>
    </row>
    <row r="290" spans="15:36" x14ac:dyDescent="0.25">
      <c r="O290" s="61">
        <f t="shared" si="310"/>
        <v>45761</v>
      </c>
      <c r="P290" s="124">
        <f t="shared" si="306"/>
        <v>2</v>
      </c>
      <c r="Q290" s="180">
        <f t="shared" si="280"/>
        <v>1</v>
      </c>
      <c r="R290" s="180">
        <f t="shared" si="280"/>
        <v>1</v>
      </c>
      <c r="S290" s="180">
        <f t="shared" si="280"/>
        <v>1</v>
      </c>
      <c r="T290" s="180">
        <f t="shared" si="280"/>
        <v>1</v>
      </c>
      <c r="U290" s="180">
        <f t="shared" si="280"/>
        <v>1</v>
      </c>
      <c r="V290" s="61">
        <f t="shared" si="307"/>
        <v>45761</v>
      </c>
      <c r="W290" s="124">
        <f t="shared" ref="W290" si="340">WEEKDAY(V290)</f>
        <v>2</v>
      </c>
      <c r="AC290" t="s">
        <v>198</v>
      </c>
      <c r="AD290" s="61">
        <f t="shared" si="312"/>
        <v>45761</v>
      </c>
      <c r="AE290">
        <f t="shared" si="301"/>
        <v>47</v>
      </c>
      <c r="AF290">
        <f t="shared" si="302"/>
        <v>47</v>
      </c>
      <c r="AG290">
        <f t="shared" si="303"/>
        <v>39</v>
      </c>
      <c r="AH290">
        <f t="shared" si="304"/>
        <v>39</v>
      </c>
      <c r="AI290">
        <f t="shared" si="305"/>
        <v>39</v>
      </c>
      <c r="AJ290"/>
    </row>
    <row r="291" spans="15:36" x14ac:dyDescent="0.25">
      <c r="O291" s="61">
        <f t="shared" si="310"/>
        <v>45762</v>
      </c>
      <c r="P291" s="124">
        <f t="shared" si="306"/>
        <v>3</v>
      </c>
      <c r="Q291" s="180">
        <f t="shared" ref="Q291:U306" si="341">IF(OR($P291=2,$P291=3,$P291=4,$P291=5,$P291=6),1,"")</f>
        <v>1</v>
      </c>
      <c r="R291" s="180">
        <f t="shared" si="341"/>
        <v>1</v>
      </c>
      <c r="S291" s="180">
        <f t="shared" si="341"/>
        <v>1</v>
      </c>
      <c r="T291" s="180">
        <f t="shared" si="341"/>
        <v>1</v>
      </c>
      <c r="U291" s="180">
        <f t="shared" si="341"/>
        <v>1</v>
      </c>
      <c r="V291" s="61">
        <f t="shared" si="307"/>
        <v>45762</v>
      </c>
      <c r="W291" s="124">
        <f t="shared" ref="W291" si="342">WEEKDAY(V291)</f>
        <v>3</v>
      </c>
      <c r="AC291" t="s">
        <v>199</v>
      </c>
      <c r="AD291" s="61">
        <f t="shared" si="312"/>
        <v>45762</v>
      </c>
      <c r="AE291">
        <f t="shared" si="301"/>
        <v>46</v>
      </c>
      <c r="AF291">
        <f t="shared" si="302"/>
        <v>46</v>
      </c>
      <c r="AG291">
        <f t="shared" si="303"/>
        <v>38</v>
      </c>
      <c r="AH291">
        <f t="shared" si="304"/>
        <v>38</v>
      </c>
      <c r="AI291">
        <f t="shared" si="305"/>
        <v>38</v>
      </c>
      <c r="AJ291"/>
    </row>
    <row r="292" spans="15:36" x14ac:dyDescent="0.25">
      <c r="O292" s="61">
        <f t="shared" si="310"/>
        <v>45763</v>
      </c>
      <c r="P292" s="124">
        <f t="shared" si="306"/>
        <v>4</v>
      </c>
      <c r="Q292" s="180">
        <f t="shared" si="341"/>
        <v>1</v>
      </c>
      <c r="R292" s="180">
        <f t="shared" si="341"/>
        <v>1</v>
      </c>
      <c r="S292" s="180">
        <f t="shared" si="341"/>
        <v>1</v>
      </c>
      <c r="T292" s="180">
        <f t="shared" si="341"/>
        <v>1</v>
      </c>
      <c r="U292" s="180">
        <f t="shared" si="341"/>
        <v>1</v>
      </c>
      <c r="V292" s="61">
        <f t="shared" si="307"/>
        <v>45763</v>
      </c>
      <c r="W292" s="124">
        <f t="shared" ref="W292" si="343">WEEKDAY(V292)</f>
        <v>4</v>
      </c>
      <c r="AC292" t="s">
        <v>198</v>
      </c>
      <c r="AD292" s="61">
        <f t="shared" si="312"/>
        <v>45763</v>
      </c>
      <c r="AE292">
        <f t="shared" si="301"/>
        <v>45</v>
      </c>
      <c r="AF292">
        <f t="shared" si="302"/>
        <v>45</v>
      </c>
      <c r="AG292">
        <f t="shared" si="303"/>
        <v>37</v>
      </c>
      <c r="AH292">
        <f t="shared" si="304"/>
        <v>37</v>
      </c>
      <c r="AI292">
        <f t="shared" si="305"/>
        <v>37</v>
      </c>
      <c r="AJ292"/>
    </row>
    <row r="293" spans="15:36" x14ac:dyDescent="0.25">
      <c r="O293" s="61">
        <f t="shared" si="310"/>
        <v>45764</v>
      </c>
      <c r="P293" s="124">
        <f t="shared" si="306"/>
        <v>5</v>
      </c>
      <c r="Q293" s="180">
        <f t="shared" si="341"/>
        <v>1</v>
      </c>
      <c r="R293" s="180">
        <f t="shared" si="341"/>
        <v>1</v>
      </c>
      <c r="S293" s="180">
        <f t="shared" si="341"/>
        <v>1</v>
      </c>
      <c r="T293" s="180">
        <f t="shared" si="341"/>
        <v>1</v>
      </c>
      <c r="U293" s="180">
        <f t="shared" si="341"/>
        <v>1</v>
      </c>
      <c r="V293" s="61">
        <f t="shared" si="307"/>
        <v>45764</v>
      </c>
      <c r="W293" s="124">
        <f t="shared" ref="W293" si="344">WEEKDAY(V293)</f>
        <v>5</v>
      </c>
      <c r="AC293" t="s">
        <v>199</v>
      </c>
      <c r="AD293" s="61">
        <f t="shared" si="312"/>
        <v>45764</v>
      </c>
      <c r="AE293">
        <f t="shared" si="301"/>
        <v>44</v>
      </c>
      <c r="AF293">
        <f t="shared" si="302"/>
        <v>44</v>
      </c>
      <c r="AG293">
        <f t="shared" si="303"/>
        <v>36</v>
      </c>
      <c r="AH293">
        <f t="shared" si="304"/>
        <v>36</v>
      </c>
      <c r="AI293">
        <f t="shared" si="305"/>
        <v>36</v>
      </c>
      <c r="AJ293"/>
    </row>
    <row r="294" spans="15:36" x14ac:dyDescent="0.25">
      <c r="O294" s="61">
        <f t="shared" si="310"/>
        <v>45765</v>
      </c>
      <c r="P294" s="124">
        <f t="shared" si="306"/>
        <v>6</v>
      </c>
      <c r="Q294" s="180">
        <f t="shared" si="341"/>
        <v>1</v>
      </c>
      <c r="R294" s="180">
        <f t="shared" si="341"/>
        <v>1</v>
      </c>
      <c r="S294" s="180">
        <f t="shared" si="341"/>
        <v>1</v>
      </c>
      <c r="T294" s="180">
        <f t="shared" si="341"/>
        <v>1</v>
      </c>
      <c r="U294" s="180">
        <f t="shared" si="341"/>
        <v>1</v>
      </c>
      <c r="V294" s="61">
        <f t="shared" si="307"/>
        <v>45765</v>
      </c>
      <c r="W294" s="124">
        <f t="shared" ref="W294" si="345">WEEKDAY(V294)</f>
        <v>6</v>
      </c>
      <c r="AC294" t="s">
        <v>198</v>
      </c>
      <c r="AD294" s="61">
        <f t="shared" si="312"/>
        <v>45765</v>
      </c>
      <c r="AE294">
        <f t="shared" si="301"/>
        <v>43</v>
      </c>
      <c r="AF294">
        <f t="shared" si="302"/>
        <v>43</v>
      </c>
      <c r="AG294">
        <f t="shared" si="303"/>
        <v>35</v>
      </c>
      <c r="AH294">
        <f t="shared" si="304"/>
        <v>35</v>
      </c>
      <c r="AI294">
        <f t="shared" si="305"/>
        <v>35</v>
      </c>
      <c r="AJ294"/>
    </row>
    <row r="295" spans="15:36" x14ac:dyDescent="0.25">
      <c r="O295" s="61">
        <f t="shared" si="310"/>
        <v>45766</v>
      </c>
      <c r="P295" s="124">
        <f t="shared" si="306"/>
        <v>7</v>
      </c>
      <c r="Q295" s="180" t="str">
        <f t="shared" si="341"/>
        <v/>
      </c>
      <c r="R295" s="180" t="str">
        <f t="shared" si="341"/>
        <v/>
      </c>
      <c r="S295" s="180" t="str">
        <f t="shared" si="341"/>
        <v/>
      </c>
      <c r="T295" s="180" t="str">
        <f t="shared" si="341"/>
        <v/>
      </c>
      <c r="U295" s="180" t="str">
        <f t="shared" si="341"/>
        <v/>
      </c>
      <c r="V295" s="61">
        <f t="shared" si="307"/>
        <v>45766</v>
      </c>
      <c r="W295" s="124">
        <f t="shared" ref="W295" si="346">WEEKDAY(V295)</f>
        <v>7</v>
      </c>
      <c r="AD295" s="61">
        <f t="shared" si="312"/>
        <v>45766</v>
      </c>
      <c r="AE295">
        <f t="shared" si="301"/>
        <v>43</v>
      </c>
      <c r="AF295">
        <f t="shared" si="302"/>
        <v>43</v>
      </c>
      <c r="AG295">
        <f t="shared" si="303"/>
        <v>35</v>
      </c>
      <c r="AH295">
        <f t="shared" si="304"/>
        <v>35</v>
      </c>
      <c r="AI295">
        <f t="shared" si="305"/>
        <v>35</v>
      </c>
      <c r="AJ295"/>
    </row>
    <row r="296" spans="15:36" x14ac:dyDescent="0.25">
      <c r="O296" s="61">
        <f t="shared" si="310"/>
        <v>45767</v>
      </c>
      <c r="P296" s="124">
        <f t="shared" si="306"/>
        <v>1</v>
      </c>
      <c r="Q296" s="180" t="str">
        <f t="shared" si="341"/>
        <v/>
      </c>
      <c r="R296" s="180" t="str">
        <f t="shared" si="341"/>
        <v/>
      </c>
      <c r="S296" s="180" t="str">
        <f t="shared" si="341"/>
        <v/>
      </c>
      <c r="T296" s="180" t="str">
        <f t="shared" si="341"/>
        <v/>
      </c>
      <c r="U296" s="180" t="str">
        <f t="shared" si="341"/>
        <v/>
      </c>
      <c r="V296" s="61">
        <f t="shared" si="307"/>
        <v>45767</v>
      </c>
      <c r="W296" s="124">
        <f t="shared" ref="W296" si="347">WEEKDAY(V296)</f>
        <v>1</v>
      </c>
      <c r="AD296" s="61">
        <f t="shared" si="312"/>
        <v>45767</v>
      </c>
      <c r="AE296">
        <f t="shared" si="301"/>
        <v>43</v>
      </c>
      <c r="AF296">
        <f t="shared" si="302"/>
        <v>43</v>
      </c>
      <c r="AG296">
        <f t="shared" si="303"/>
        <v>35</v>
      </c>
      <c r="AH296">
        <f t="shared" si="304"/>
        <v>35</v>
      </c>
      <c r="AI296">
        <f t="shared" si="305"/>
        <v>35</v>
      </c>
      <c r="AJ296"/>
    </row>
    <row r="297" spans="15:36" x14ac:dyDescent="0.25">
      <c r="O297" s="61">
        <f t="shared" si="310"/>
        <v>45768</v>
      </c>
      <c r="P297" s="124">
        <f t="shared" si="306"/>
        <v>2</v>
      </c>
      <c r="Q297" s="180">
        <f t="shared" si="341"/>
        <v>1</v>
      </c>
      <c r="R297" s="180">
        <f t="shared" si="341"/>
        <v>1</v>
      </c>
      <c r="S297" s="180">
        <f t="shared" si="341"/>
        <v>1</v>
      </c>
      <c r="T297" s="180">
        <f t="shared" si="341"/>
        <v>1</v>
      </c>
      <c r="U297" s="180">
        <f t="shared" si="341"/>
        <v>1</v>
      </c>
      <c r="V297" s="61">
        <f t="shared" si="307"/>
        <v>45768</v>
      </c>
      <c r="W297" s="124">
        <f t="shared" ref="W297" si="348">WEEKDAY(V297)</f>
        <v>2</v>
      </c>
      <c r="AC297" t="s">
        <v>199</v>
      </c>
      <c r="AD297" s="61">
        <f t="shared" si="312"/>
        <v>45768</v>
      </c>
      <c r="AE297">
        <f t="shared" si="301"/>
        <v>42</v>
      </c>
      <c r="AF297">
        <f t="shared" si="302"/>
        <v>42</v>
      </c>
      <c r="AG297">
        <f t="shared" si="303"/>
        <v>34</v>
      </c>
      <c r="AH297">
        <f t="shared" si="304"/>
        <v>34</v>
      </c>
      <c r="AI297">
        <f t="shared" si="305"/>
        <v>34</v>
      </c>
      <c r="AJ297"/>
    </row>
    <row r="298" spans="15:36" x14ac:dyDescent="0.25">
      <c r="O298" s="61">
        <f t="shared" si="310"/>
        <v>45769</v>
      </c>
      <c r="P298" s="124">
        <f t="shared" si="306"/>
        <v>3</v>
      </c>
      <c r="Q298" s="180">
        <f t="shared" si="341"/>
        <v>1</v>
      </c>
      <c r="R298" s="180">
        <f t="shared" si="341"/>
        <v>1</v>
      </c>
      <c r="S298" s="180">
        <f t="shared" si="341"/>
        <v>1</v>
      </c>
      <c r="T298" s="180">
        <f t="shared" si="341"/>
        <v>1</v>
      </c>
      <c r="U298" s="180">
        <f t="shared" si="341"/>
        <v>1</v>
      </c>
      <c r="V298" s="61">
        <f t="shared" si="307"/>
        <v>45769</v>
      </c>
      <c r="W298" s="124">
        <f t="shared" ref="W298" si="349">WEEKDAY(V298)</f>
        <v>3</v>
      </c>
      <c r="AC298" t="s">
        <v>198</v>
      </c>
      <c r="AD298" s="61">
        <f t="shared" si="312"/>
        <v>45769</v>
      </c>
      <c r="AE298">
        <f t="shared" si="301"/>
        <v>41</v>
      </c>
      <c r="AF298">
        <f t="shared" si="302"/>
        <v>41</v>
      </c>
      <c r="AG298">
        <f t="shared" si="303"/>
        <v>33</v>
      </c>
      <c r="AH298">
        <f t="shared" si="304"/>
        <v>33</v>
      </c>
      <c r="AI298">
        <f t="shared" si="305"/>
        <v>33</v>
      </c>
      <c r="AJ298"/>
    </row>
    <row r="299" spans="15:36" x14ac:dyDescent="0.25">
      <c r="O299" s="61">
        <f t="shared" si="310"/>
        <v>45770</v>
      </c>
      <c r="P299" s="124">
        <f t="shared" si="306"/>
        <v>4</v>
      </c>
      <c r="Q299" s="180">
        <f t="shared" si="341"/>
        <v>1</v>
      </c>
      <c r="R299" s="180">
        <f t="shared" si="341"/>
        <v>1</v>
      </c>
      <c r="S299" s="180">
        <f t="shared" si="341"/>
        <v>1</v>
      </c>
      <c r="T299" s="180">
        <f t="shared" si="341"/>
        <v>1</v>
      </c>
      <c r="U299" s="180">
        <f t="shared" si="341"/>
        <v>1</v>
      </c>
      <c r="V299" s="61">
        <f t="shared" si="307"/>
        <v>45770</v>
      </c>
      <c r="W299" s="124">
        <f t="shared" ref="W299" si="350">WEEKDAY(V299)</f>
        <v>4</v>
      </c>
      <c r="AC299" t="s">
        <v>199</v>
      </c>
      <c r="AD299" s="61">
        <f t="shared" si="312"/>
        <v>45770</v>
      </c>
      <c r="AE299">
        <f t="shared" si="301"/>
        <v>40</v>
      </c>
      <c r="AF299">
        <f t="shared" si="302"/>
        <v>40</v>
      </c>
      <c r="AG299">
        <f t="shared" si="303"/>
        <v>32</v>
      </c>
      <c r="AH299">
        <f t="shared" si="304"/>
        <v>32</v>
      </c>
      <c r="AI299">
        <f t="shared" si="305"/>
        <v>32</v>
      </c>
      <c r="AJ299"/>
    </row>
    <row r="300" spans="15:36" x14ac:dyDescent="0.25">
      <c r="O300" s="61">
        <f t="shared" si="310"/>
        <v>45771</v>
      </c>
      <c r="P300" s="124">
        <f t="shared" si="306"/>
        <v>5</v>
      </c>
      <c r="Q300" s="180">
        <f t="shared" si="341"/>
        <v>1</v>
      </c>
      <c r="R300" s="180">
        <f t="shared" si="341"/>
        <v>1</v>
      </c>
      <c r="S300" s="180">
        <f t="shared" si="341"/>
        <v>1</v>
      </c>
      <c r="T300" s="180">
        <f t="shared" si="341"/>
        <v>1</v>
      </c>
      <c r="U300" s="180">
        <f t="shared" si="341"/>
        <v>1</v>
      </c>
      <c r="V300" s="61">
        <f t="shared" si="307"/>
        <v>45771</v>
      </c>
      <c r="W300" s="124">
        <f t="shared" ref="W300" si="351">WEEKDAY(V300)</f>
        <v>5</v>
      </c>
      <c r="AC300" t="s">
        <v>198</v>
      </c>
      <c r="AD300" s="61">
        <f t="shared" si="312"/>
        <v>45771</v>
      </c>
      <c r="AE300">
        <f t="shared" si="301"/>
        <v>39</v>
      </c>
      <c r="AF300">
        <f t="shared" si="302"/>
        <v>39</v>
      </c>
      <c r="AG300">
        <f t="shared" si="303"/>
        <v>31</v>
      </c>
      <c r="AH300">
        <f t="shared" si="304"/>
        <v>31</v>
      </c>
      <c r="AI300">
        <f t="shared" si="305"/>
        <v>31</v>
      </c>
      <c r="AJ300"/>
    </row>
    <row r="301" spans="15:36" x14ac:dyDescent="0.25">
      <c r="O301" s="61">
        <f t="shared" si="310"/>
        <v>45772</v>
      </c>
      <c r="P301" s="124">
        <f t="shared" si="306"/>
        <v>6</v>
      </c>
      <c r="Q301" s="180">
        <f t="shared" si="341"/>
        <v>1</v>
      </c>
      <c r="R301" s="180">
        <f t="shared" si="341"/>
        <v>1</v>
      </c>
      <c r="S301" s="180">
        <f t="shared" si="341"/>
        <v>1</v>
      </c>
      <c r="T301" s="180">
        <f t="shared" si="341"/>
        <v>1</v>
      </c>
      <c r="U301" s="180">
        <f t="shared" si="341"/>
        <v>1</v>
      </c>
      <c r="V301" s="61">
        <f t="shared" si="307"/>
        <v>45772</v>
      </c>
      <c r="W301" s="124">
        <f t="shared" ref="W301" si="352">WEEKDAY(V301)</f>
        <v>6</v>
      </c>
      <c r="AC301" t="s">
        <v>199</v>
      </c>
      <c r="AD301" s="61">
        <f t="shared" si="312"/>
        <v>45772</v>
      </c>
      <c r="AE301">
        <f t="shared" si="301"/>
        <v>38</v>
      </c>
      <c r="AF301">
        <f t="shared" si="302"/>
        <v>38</v>
      </c>
      <c r="AG301">
        <f t="shared" si="303"/>
        <v>30</v>
      </c>
      <c r="AH301">
        <f t="shared" si="304"/>
        <v>30</v>
      </c>
      <c r="AI301">
        <f t="shared" si="305"/>
        <v>30</v>
      </c>
      <c r="AJ301"/>
    </row>
    <row r="302" spans="15:36" x14ac:dyDescent="0.25">
      <c r="O302" s="61">
        <f t="shared" si="310"/>
        <v>45773</v>
      </c>
      <c r="P302" s="124">
        <f t="shared" si="306"/>
        <v>7</v>
      </c>
      <c r="Q302" s="180" t="str">
        <f t="shared" si="341"/>
        <v/>
      </c>
      <c r="R302" s="180" t="str">
        <f t="shared" si="341"/>
        <v/>
      </c>
      <c r="S302" s="180" t="str">
        <f t="shared" si="341"/>
        <v/>
      </c>
      <c r="T302" s="180" t="str">
        <f t="shared" si="341"/>
        <v/>
      </c>
      <c r="U302" s="180" t="str">
        <f t="shared" si="341"/>
        <v/>
      </c>
      <c r="V302" s="61">
        <f t="shared" si="307"/>
        <v>45773</v>
      </c>
      <c r="W302" s="124">
        <f t="shared" ref="W302" si="353">WEEKDAY(V302)</f>
        <v>7</v>
      </c>
      <c r="AD302" s="61">
        <f t="shared" si="312"/>
        <v>45773</v>
      </c>
      <c r="AE302">
        <f t="shared" si="301"/>
        <v>38</v>
      </c>
      <c r="AF302">
        <f t="shared" si="302"/>
        <v>38</v>
      </c>
      <c r="AG302">
        <f t="shared" si="303"/>
        <v>30</v>
      </c>
      <c r="AH302">
        <f t="shared" si="304"/>
        <v>30</v>
      </c>
      <c r="AI302">
        <f t="shared" si="305"/>
        <v>30</v>
      </c>
      <c r="AJ302"/>
    </row>
    <row r="303" spans="15:36" x14ac:dyDescent="0.25">
      <c r="O303" s="61">
        <f t="shared" si="310"/>
        <v>45774</v>
      </c>
      <c r="P303" s="124">
        <f t="shared" si="306"/>
        <v>1</v>
      </c>
      <c r="Q303" s="180" t="str">
        <f t="shared" si="341"/>
        <v/>
      </c>
      <c r="R303" s="180" t="str">
        <f t="shared" si="341"/>
        <v/>
      </c>
      <c r="S303" s="180" t="str">
        <f t="shared" si="341"/>
        <v/>
      </c>
      <c r="T303" s="180" t="str">
        <f t="shared" si="341"/>
        <v/>
      </c>
      <c r="U303" s="180" t="str">
        <f t="shared" si="341"/>
        <v/>
      </c>
      <c r="V303" s="61">
        <f t="shared" si="307"/>
        <v>45774</v>
      </c>
      <c r="W303" s="124">
        <f t="shared" ref="W303" si="354">WEEKDAY(V303)</f>
        <v>1</v>
      </c>
      <c r="AD303" s="61">
        <f t="shared" si="312"/>
        <v>45774</v>
      </c>
      <c r="AE303">
        <f t="shared" si="301"/>
        <v>38</v>
      </c>
      <c r="AF303">
        <f t="shared" si="302"/>
        <v>38</v>
      </c>
      <c r="AG303">
        <f t="shared" si="303"/>
        <v>30</v>
      </c>
      <c r="AH303">
        <f t="shared" si="304"/>
        <v>30</v>
      </c>
      <c r="AI303">
        <f t="shared" si="305"/>
        <v>30</v>
      </c>
      <c r="AJ303"/>
    </row>
    <row r="304" spans="15:36" x14ac:dyDescent="0.25">
      <c r="O304" s="61">
        <f t="shared" si="310"/>
        <v>45775</v>
      </c>
      <c r="P304" s="124">
        <f t="shared" si="306"/>
        <v>2</v>
      </c>
      <c r="Q304" s="180">
        <f t="shared" si="341"/>
        <v>1</v>
      </c>
      <c r="R304" s="180">
        <f t="shared" si="341"/>
        <v>1</v>
      </c>
      <c r="S304" s="180">
        <f t="shared" si="341"/>
        <v>1</v>
      </c>
      <c r="T304" s="180">
        <f t="shared" si="341"/>
        <v>1</v>
      </c>
      <c r="U304" s="180">
        <f t="shared" si="341"/>
        <v>1</v>
      </c>
      <c r="V304" s="61">
        <f t="shared" si="307"/>
        <v>45775</v>
      </c>
      <c r="W304" s="124">
        <f t="shared" ref="W304" si="355">WEEKDAY(V304)</f>
        <v>2</v>
      </c>
      <c r="AC304" t="s">
        <v>198</v>
      </c>
      <c r="AD304" s="61">
        <f t="shared" si="312"/>
        <v>45775</v>
      </c>
      <c r="AE304">
        <f t="shared" si="301"/>
        <v>37</v>
      </c>
      <c r="AF304">
        <f t="shared" si="302"/>
        <v>37</v>
      </c>
      <c r="AG304">
        <f t="shared" si="303"/>
        <v>29</v>
      </c>
      <c r="AH304">
        <f t="shared" si="304"/>
        <v>29</v>
      </c>
      <c r="AI304">
        <f t="shared" si="305"/>
        <v>29</v>
      </c>
      <c r="AJ304"/>
    </row>
    <row r="305" spans="15:36" x14ac:dyDescent="0.25">
      <c r="O305" s="61">
        <f t="shared" si="310"/>
        <v>45776</v>
      </c>
      <c r="P305" s="124">
        <f t="shared" si="306"/>
        <v>3</v>
      </c>
      <c r="Q305" s="180">
        <f t="shared" si="341"/>
        <v>1</v>
      </c>
      <c r="R305" s="180">
        <f t="shared" si="341"/>
        <v>1</v>
      </c>
      <c r="S305" s="180">
        <f t="shared" si="341"/>
        <v>1</v>
      </c>
      <c r="T305" s="180">
        <f t="shared" si="341"/>
        <v>1</v>
      </c>
      <c r="U305" s="180">
        <f t="shared" si="341"/>
        <v>1</v>
      </c>
      <c r="V305" s="61">
        <f t="shared" si="307"/>
        <v>45776</v>
      </c>
      <c r="W305" s="124">
        <f t="shared" ref="W305" si="356">WEEKDAY(V305)</f>
        <v>3</v>
      </c>
      <c r="AC305" t="s">
        <v>199</v>
      </c>
      <c r="AD305" s="61">
        <f t="shared" si="312"/>
        <v>45776</v>
      </c>
      <c r="AE305">
        <f t="shared" si="301"/>
        <v>36</v>
      </c>
      <c r="AF305">
        <f t="shared" si="302"/>
        <v>36</v>
      </c>
      <c r="AG305">
        <f t="shared" si="303"/>
        <v>28</v>
      </c>
      <c r="AH305">
        <f t="shared" si="304"/>
        <v>28</v>
      </c>
      <c r="AI305">
        <f t="shared" si="305"/>
        <v>28</v>
      </c>
      <c r="AJ305"/>
    </row>
    <row r="306" spans="15:36" x14ac:dyDescent="0.25">
      <c r="O306" s="61">
        <f t="shared" si="310"/>
        <v>45777</v>
      </c>
      <c r="P306" s="124">
        <f t="shared" si="306"/>
        <v>4</v>
      </c>
      <c r="Q306" s="180">
        <f t="shared" si="341"/>
        <v>1</v>
      </c>
      <c r="R306" s="180">
        <f t="shared" si="341"/>
        <v>1</v>
      </c>
      <c r="S306" s="180">
        <f t="shared" si="341"/>
        <v>1</v>
      </c>
      <c r="T306" s="180">
        <f t="shared" si="341"/>
        <v>1</v>
      </c>
      <c r="U306" s="180">
        <f t="shared" si="341"/>
        <v>1</v>
      </c>
      <c r="V306" s="61">
        <f t="shared" si="307"/>
        <v>45777</v>
      </c>
      <c r="W306" s="124">
        <f t="shared" ref="W306" si="357">WEEKDAY(V306)</f>
        <v>4</v>
      </c>
      <c r="AC306" t="s">
        <v>198</v>
      </c>
      <c r="AD306" s="61">
        <f t="shared" si="312"/>
        <v>45777</v>
      </c>
      <c r="AE306">
        <f t="shared" si="301"/>
        <v>35</v>
      </c>
      <c r="AF306">
        <f t="shared" si="302"/>
        <v>35</v>
      </c>
      <c r="AG306">
        <f t="shared" si="303"/>
        <v>27</v>
      </c>
      <c r="AH306">
        <f t="shared" si="304"/>
        <v>27</v>
      </c>
      <c r="AI306">
        <f t="shared" si="305"/>
        <v>27</v>
      </c>
      <c r="AJ306"/>
    </row>
    <row r="307" spans="15:36" x14ac:dyDescent="0.25">
      <c r="O307" s="61">
        <f t="shared" si="310"/>
        <v>45778</v>
      </c>
      <c r="P307" s="124">
        <f t="shared" si="306"/>
        <v>5</v>
      </c>
      <c r="Q307" s="180">
        <f t="shared" ref="Q307:U356" si="358">IF(OR($P307=2,$P307=3,$P307=4,$P307=5,$P307=6),1,"")</f>
        <v>1</v>
      </c>
      <c r="R307" s="180">
        <f t="shared" si="358"/>
        <v>1</v>
      </c>
      <c r="S307" s="180">
        <f t="shared" si="358"/>
        <v>1</v>
      </c>
      <c r="T307" s="180">
        <f t="shared" si="358"/>
        <v>1</v>
      </c>
      <c r="U307" s="180">
        <f t="shared" si="358"/>
        <v>1</v>
      </c>
      <c r="V307" s="61">
        <f t="shared" si="307"/>
        <v>45778</v>
      </c>
      <c r="W307" s="124">
        <f t="shared" ref="W307" si="359">WEEKDAY(V307)</f>
        <v>5</v>
      </c>
      <c r="AC307" t="s">
        <v>199</v>
      </c>
      <c r="AD307" s="61">
        <f t="shared" si="312"/>
        <v>45778</v>
      </c>
      <c r="AE307">
        <f t="shared" si="301"/>
        <v>34</v>
      </c>
      <c r="AF307">
        <f t="shared" si="302"/>
        <v>34</v>
      </c>
      <c r="AG307">
        <f t="shared" si="303"/>
        <v>26</v>
      </c>
      <c r="AH307">
        <f t="shared" si="304"/>
        <v>26</v>
      </c>
      <c r="AI307">
        <f t="shared" si="305"/>
        <v>26</v>
      </c>
      <c r="AJ307"/>
    </row>
    <row r="308" spans="15:36" x14ac:dyDescent="0.25">
      <c r="O308" s="61">
        <f t="shared" si="310"/>
        <v>45779</v>
      </c>
      <c r="P308" s="124">
        <f t="shared" si="306"/>
        <v>6</v>
      </c>
      <c r="Q308" s="180">
        <f t="shared" si="358"/>
        <v>1</v>
      </c>
      <c r="R308" s="180">
        <f t="shared" si="358"/>
        <v>1</v>
      </c>
      <c r="S308" s="180">
        <f t="shared" si="358"/>
        <v>1</v>
      </c>
      <c r="T308" s="180">
        <f t="shared" si="358"/>
        <v>1</v>
      </c>
      <c r="U308" s="180">
        <f t="shared" si="358"/>
        <v>1</v>
      </c>
      <c r="V308" s="61">
        <f t="shared" si="307"/>
        <v>45779</v>
      </c>
      <c r="W308" s="124">
        <f t="shared" ref="W308" si="360">WEEKDAY(V308)</f>
        <v>6</v>
      </c>
      <c r="AC308" t="s">
        <v>198</v>
      </c>
      <c r="AD308" s="61">
        <f t="shared" si="312"/>
        <v>45779</v>
      </c>
      <c r="AE308">
        <f t="shared" si="301"/>
        <v>33</v>
      </c>
      <c r="AF308">
        <f t="shared" si="302"/>
        <v>33</v>
      </c>
      <c r="AG308">
        <f t="shared" si="303"/>
        <v>25</v>
      </c>
      <c r="AH308">
        <f t="shared" si="304"/>
        <v>25</v>
      </c>
      <c r="AI308">
        <f t="shared" si="305"/>
        <v>25</v>
      </c>
      <c r="AJ308"/>
    </row>
    <row r="309" spans="15:36" x14ac:dyDescent="0.25">
      <c r="O309" s="61">
        <f t="shared" si="310"/>
        <v>45780</v>
      </c>
      <c r="P309" s="124">
        <f t="shared" si="306"/>
        <v>7</v>
      </c>
      <c r="Q309" s="180" t="str">
        <f t="shared" si="358"/>
        <v/>
      </c>
      <c r="R309" s="180" t="str">
        <f t="shared" si="358"/>
        <v/>
      </c>
      <c r="S309" s="180" t="str">
        <f t="shared" si="358"/>
        <v/>
      </c>
      <c r="T309" s="180" t="str">
        <f t="shared" si="358"/>
        <v/>
      </c>
      <c r="U309" s="180" t="str">
        <f t="shared" si="358"/>
        <v/>
      </c>
      <c r="V309" s="61">
        <f t="shared" si="307"/>
        <v>45780</v>
      </c>
      <c r="W309" s="124">
        <f t="shared" ref="W309" si="361">WEEKDAY(V309)</f>
        <v>7</v>
      </c>
      <c r="AD309" s="61">
        <f t="shared" si="312"/>
        <v>45780</v>
      </c>
      <c r="AE309">
        <f t="shared" si="301"/>
        <v>33</v>
      </c>
      <c r="AF309">
        <f t="shared" si="302"/>
        <v>33</v>
      </c>
      <c r="AG309">
        <f t="shared" si="303"/>
        <v>25</v>
      </c>
      <c r="AH309">
        <f t="shared" si="304"/>
        <v>25</v>
      </c>
      <c r="AI309">
        <f t="shared" si="305"/>
        <v>25</v>
      </c>
      <c r="AJ309"/>
    </row>
    <row r="310" spans="15:36" x14ac:dyDescent="0.25">
      <c r="O310" s="61">
        <f t="shared" si="310"/>
        <v>45781</v>
      </c>
      <c r="P310" s="124">
        <f t="shared" si="306"/>
        <v>1</v>
      </c>
      <c r="Q310" s="180" t="str">
        <f t="shared" si="358"/>
        <v/>
      </c>
      <c r="R310" s="180" t="str">
        <f t="shared" si="358"/>
        <v/>
      </c>
      <c r="S310" s="180" t="str">
        <f t="shared" si="358"/>
        <v/>
      </c>
      <c r="T310" s="180" t="str">
        <f t="shared" si="358"/>
        <v/>
      </c>
      <c r="U310" s="180" t="str">
        <f t="shared" si="358"/>
        <v/>
      </c>
      <c r="V310" s="61">
        <f t="shared" si="307"/>
        <v>45781</v>
      </c>
      <c r="W310" s="124">
        <f t="shared" ref="W310" si="362">WEEKDAY(V310)</f>
        <v>1</v>
      </c>
      <c r="AD310" s="61">
        <f t="shared" si="312"/>
        <v>45781</v>
      </c>
      <c r="AE310">
        <f t="shared" si="301"/>
        <v>33</v>
      </c>
      <c r="AF310">
        <f t="shared" si="302"/>
        <v>33</v>
      </c>
      <c r="AG310">
        <f t="shared" si="303"/>
        <v>25</v>
      </c>
      <c r="AH310">
        <f t="shared" si="304"/>
        <v>25</v>
      </c>
      <c r="AI310">
        <f t="shared" si="305"/>
        <v>25</v>
      </c>
      <c r="AJ310"/>
    </row>
    <row r="311" spans="15:36" x14ac:dyDescent="0.25">
      <c r="O311" s="61">
        <f t="shared" si="310"/>
        <v>45782</v>
      </c>
      <c r="P311" s="124">
        <f t="shared" si="306"/>
        <v>2</v>
      </c>
      <c r="Q311" s="180">
        <f t="shared" si="358"/>
        <v>1</v>
      </c>
      <c r="R311" s="180">
        <f t="shared" si="358"/>
        <v>1</v>
      </c>
      <c r="S311" s="180">
        <f t="shared" si="358"/>
        <v>1</v>
      </c>
      <c r="T311" s="180">
        <f t="shared" si="358"/>
        <v>1</v>
      </c>
      <c r="U311" s="180">
        <f t="shared" si="358"/>
        <v>1</v>
      </c>
      <c r="V311" s="61">
        <f t="shared" si="307"/>
        <v>45782</v>
      </c>
      <c r="W311" s="124">
        <f t="shared" ref="W311" si="363">WEEKDAY(V311)</f>
        <v>2</v>
      </c>
      <c r="AC311" t="s">
        <v>199</v>
      </c>
      <c r="AD311" s="61">
        <f t="shared" si="312"/>
        <v>45782</v>
      </c>
      <c r="AE311">
        <f t="shared" si="301"/>
        <v>32</v>
      </c>
      <c r="AF311">
        <f t="shared" si="302"/>
        <v>32</v>
      </c>
      <c r="AG311">
        <f t="shared" si="303"/>
        <v>24</v>
      </c>
      <c r="AH311">
        <f t="shared" si="304"/>
        <v>24</v>
      </c>
      <c r="AI311">
        <f t="shared" si="305"/>
        <v>24</v>
      </c>
      <c r="AJ311"/>
    </row>
    <row r="312" spans="15:36" x14ac:dyDescent="0.25">
      <c r="O312" s="61">
        <f t="shared" si="310"/>
        <v>45783</v>
      </c>
      <c r="P312" s="124">
        <f t="shared" si="306"/>
        <v>3</v>
      </c>
      <c r="Q312" s="180">
        <f t="shared" si="358"/>
        <v>1</v>
      </c>
      <c r="R312" s="180">
        <f t="shared" si="358"/>
        <v>1</v>
      </c>
      <c r="S312" s="180">
        <f t="shared" si="358"/>
        <v>1</v>
      </c>
      <c r="T312" s="180">
        <f t="shared" si="358"/>
        <v>1</v>
      </c>
      <c r="U312" s="180">
        <f t="shared" si="358"/>
        <v>1</v>
      </c>
      <c r="V312" s="61">
        <f t="shared" si="307"/>
        <v>45783</v>
      </c>
      <c r="W312" s="124">
        <f t="shared" ref="W312" si="364">WEEKDAY(V312)</f>
        <v>3</v>
      </c>
      <c r="AC312" t="s">
        <v>198</v>
      </c>
      <c r="AD312" s="61">
        <f t="shared" si="312"/>
        <v>45783</v>
      </c>
      <c r="AE312">
        <f t="shared" si="301"/>
        <v>31</v>
      </c>
      <c r="AF312">
        <f t="shared" si="302"/>
        <v>31</v>
      </c>
      <c r="AG312">
        <f t="shared" si="303"/>
        <v>23</v>
      </c>
      <c r="AH312">
        <f t="shared" si="304"/>
        <v>23</v>
      </c>
      <c r="AI312">
        <f t="shared" si="305"/>
        <v>23</v>
      </c>
      <c r="AJ312"/>
    </row>
    <row r="313" spans="15:36" x14ac:dyDescent="0.25">
      <c r="O313" s="61">
        <f t="shared" si="310"/>
        <v>45784</v>
      </c>
      <c r="P313" s="124">
        <f t="shared" si="306"/>
        <v>4</v>
      </c>
      <c r="Q313" s="180">
        <f t="shared" si="358"/>
        <v>1</v>
      </c>
      <c r="R313" s="180">
        <f t="shared" si="358"/>
        <v>1</v>
      </c>
      <c r="S313" s="180">
        <f t="shared" si="358"/>
        <v>1</v>
      </c>
      <c r="T313" s="180">
        <f t="shared" si="358"/>
        <v>1</v>
      </c>
      <c r="U313" s="180">
        <f t="shared" si="358"/>
        <v>1</v>
      </c>
      <c r="V313" s="61">
        <f t="shared" si="307"/>
        <v>45784</v>
      </c>
      <c r="W313" s="124">
        <f t="shared" ref="W313" si="365">WEEKDAY(V313)</f>
        <v>4</v>
      </c>
      <c r="AC313" t="s">
        <v>199</v>
      </c>
      <c r="AD313" s="61">
        <f t="shared" si="312"/>
        <v>45784</v>
      </c>
      <c r="AE313">
        <f t="shared" si="301"/>
        <v>30</v>
      </c>
      <c r="AF313">
        <f t="shared" si="302"/>
        <v>30</v>
      </c>
      <c r="AG313">
        <f t="shared" si="303"/>
        <v>22</v>
      </c>
      <c r="AH313">
        <f t="shared" si="304"/>
        <v>22</v>
      </c>
      <c r="AI313">
        <f t="shared" si="305"/>
        <v>22</v>
      </c>
      <c r="AJ313"/>
    </row>
    <row r="314" spans="15:36" x14ac:dyDescent="0.25">
      <c r="O314" s="61">
        <f t="shared" si="310"/>
        <v>45785</v>
      </c>
      <c r="P314" s="124">
        <f t="shared" si="306"/>
        <v>5</v>
      </c>
      <c r="Q314" s="180">
        <f t="shared" si="358"/>
        <v>1</v>
      </c>
      <c r="R314" s="180">
        <f t="shared" si="358"/>
        <v>1</v>
      </c>
      <c r="S314" s="180">
        <f t="shared" si="358"/>
        <v>1</v>
      </c>
      <c r="T314" s="180">
        <f t="shared" si="358"/>
        <v>1</v>
      </c>
      <c r="U314" s="180">
        <f t="shared" si="358"/>
        <v>1</v>
      </c>
      <c r="V314" s="61">
        <f t="shared" si="307"/>
        <v>45785</v>
      </c>
      <c r="W314" s="124">
        <f t="shared" ref="W314" si="366">WEEKDAY(V314)</f>
        <v>5</v>
      </c>
      <c r="AC314" t="s">
        <v>198</v>
      </c>
      <c r="AD314" s="61">
        <f t="shared" si="312"/>
        <v>45785</v>
      </c>
      <c r="AE314">
        <f t="shared" si="301"/>
        <v>29</v>
      </c>
      <c r="AF314">
        <f t="shared" si="302"/>
        <v>29</v>
      </c>
      <c r="AG314">
        <f t="shared" si="303"/>
        <v>21</v>
      </c>
      <c r="AH314">
        <f t="shared" si="304"/>
        <v>21</v>
      </c>
      <c r="AI314">
        <f t="shared" si="305"/>
        <v>21</v>
      </c>
      <c r="AJ314"/>
    </row>
    <row r="315" spans="15:36" x14ac:dyDescent="0.25">
      <c r="O315" s="61">
        <f t="shared" si="310"/>
        <v>45786</v>
      </c>
      <c r="P315" s="124">
        <f t="shared" si="306"/>
        <v>6</v>
      </c>
      <c r="Q315" s="180">
        <f t="shared" si="358"/>
        <v>1</v>
      </c>
      <c r="R315" s="180">
        <f t="shared" si="358"/>
        <v>1</v>
      </c>
      <c r="S315" s="180">
        <f t="shared" si="358"/>
        <v>1</v>
      </c>
      <c r="T315" s="180">
        <f t="shared" si="358"/>
        <v>1</v>
      </c>
      <c r="U315" s="180">
        <f t="shared" si="358"/>
        <v>1</v>
      </c>
      <c r="V315" s="61">
        <f t="shared" si="307"/>
        <v>45786</v>
      </c>
      <c r="W315" s="124">
        <f t="shared" ref="W315" si="367">WEEKDAY(V315)</f>
        <v>6</v>
      </c>
      <c r="AC315" t="s">
        <v>199</v>
      </c>
      <c r="AD315" s="61">
        <f t="shared" si="312"/>
        <v>45786</v>
      </c>
      <c r="AE315">
        <f t="shared" si="301"/>
        <v>28</v>
      </c>
      <c r="AF315">
        <f t="shared" si="302"/>
        <v>28</v>
      </c>
      <c r="AG315">
        <f t="shared" si="303"/>
        <v>20</v>
      </c>
      <c r="AH315">
        <f t="shared" si="304"/>
        <v>20</v>
      </c>
      <c r="AI315">
        <f t="shared" si="305"/>
        <v>20</v>
      </c>
      <c r="AJ315"/>
    </row>
    <row r="316" spans="15:36" x14ac:dyDescent="0.25">
      <c r="O316" s="61">
        <f t="shared" si="310"/>
        <v>45787</v>
      </c>
      <c r="P316" s="124">
        <f t="shared" si="306"/>
        <v>7</v>
      </c>
      <c r="Q316" s="180" t="str">
        <f t="shared" si="358"/>
        <v/>
      </c>
      <c r="R316" s="180" t="str">
        <f t="shared" si="358"/>
        <v/>
      </c>
      <c r="S316" s="180" t="str">
        <f t="shared" si="358"/>
        <v/>
      </c>
      <c r="T316" s="180" t="str">
        <f t="shared" si="358"/>
        <v/>
      </c>
      <c r="U316" s="180" t="str">
        <f t="shared" si="358"/>
        <v/>
      </c>
      <c r="V316" s="61">
        <f t="shared" si="307"/>
        <v>45787</v>
      </c>
      <c r="W316" s="124">
        <f t="shared" ref="W316" si="368">WEEKDAY(V316)</f>
        <v>7</v>
      </c>
      <c r="AD316" s="61">
        <f t="shared" si="312"/>
        <v>45787</v>
      </c>
      <c r="AE316">
        <f t="shared" si="301"/>
        <v>28</v>
      </c>
      <c r="AF316">
        <f t="shared" si="302"/>
        <v>28</v>
      </c>
      <c r="AG316">
        <f t="shared" si="303"/>
        <v>20</v>
      </c>
      <c r="AH316">
        <f t="shared" si="304"/>
        <v>20</v>
      </c>
      <c r="AI316">
        <f t="shared" si="305"/>
        <v>20</v>
      </c>
      <c r="AJ316"/>
    </row>
    <row r="317" spans="15:36" x14ac:dyDescent="0.25">
      <c r="O317" s="61">
        <f t="shared" si="310"/>
        <v>45788</v>
      </c>
      <c r="P317" s="124">
        <f t="shared" si="306"/>
        <v>1</v>
      </c>
      <c r="Q317" s="180" t="str">
        <f t="shared" si="358"/>
        <v/>
      </c>
      <c r="R317" s="180" t="str">
        <f t="shared" si="358"/>
        <v/>
      </c>
      <c r="S317" s="180" t="str">
        <f t="shared" si="358"/>
        <v/>
      </c>
      <c r="T317" s="180" t="str">
        <f t="shared" si="358"/>
        <v/>
      </c>
      <c r="U317" s="180" t="str">
        <f t="shared" si="358"/>
        <v/>
      </c>
      <c r="V317" s="61">
        <f t="shared" si="307"/>
        <v>45788</v>
      </c>
      <c r="W317" s="124">
        <f t="shared" ref="W317" si="369">WEEKDAY(V317)</f>
        <v>1</v>
      </c>
      <c r="AD317" s="61">
        <f t="shared" si="312"/>
        <v>45788</v>
      </c>
      <c r="AE317">
        <f t="shared" si="301"/>
        <v>28</v>
      </c>
      <c r="AF317">
        <f t="shared" si="302"/>
        <v>28</v>
      </c>
      <c r="AG317">
        <f t="shared" si="303"/>
        <v>20</v>
      </c>
      <c r="AH317">
        <f t="shared" si="304"/>
        <v>20</v>
      </c>
      <c r="AI317">
        <f t="shared" si="305"/>
        <v>20</v>
      </c>
      <c r="AJ317"/>
    </row>
    <row r="318" spans="15:36" x14ac:dyDescent="0.25">
      <c r="O318" s="61">
        <f t="shared" si="310"/>
        <v>45789</v>
      </c>
      <c r="P318" s="124">
        <f t="shared" si="306"/>
        <v>2</v>
      </c>
      <c r="Q318" s="180">
        <f t="shared" si="358"/>
        <v>1</v>
      </c>
      <c r="R318" s="180">
        <f t="shared" si="358"/>
        <v>1</v>
      </c>
      <c r="S318" s="180">
        <f t="shared" si="358"/>
        <v>1</v>
      </c>
      <c r="T318" s="180">
        <f t="shared" si="358"/>
        <v>1</v>
      </c>
      <c r="U318" s="180">
        <f t="shared" si="358"/>
        <v>1</v>
      </c>
      <c r="V318" s="61">
        <f t="shared" si="307"/>
        <v>45789</v>
      </c>
      <c r="W318" s="124">
        <f t="shared" ref="W318" si="370">WEEKDAY(V318)</f>
        <v>2</v>
      </c>
      <c r="AC318" t="s">
        <v>198</v>
      </c>
      <c r="AD318" s="61">
        <f t="shared" si="312"/>
        <v>45789</v>
      </c>
      <c r="AE318">
        <f t="shared" si="301"/>
        <v>27</v>
      </c>
      <c r="AF318">
        <f t="shared" si="302"/>
        <v>27</v>
      </c>
      <c r="AG318">
        <f t="shared" si="303"/>
        <v>19</v>
      </c>
      <c r="AH318">
        <f t="shared" si="304"/>
        <v>19</v>
      </c>
      <c r="AI318">
        <f t="shared" si="305"/>
        <v>19</v>
      </c>
      <c r="AJ318"/>
    </row>
    <row r="319" spans="15:36" x14ac:dyDescent="0.25">
      <c r="O319" s="61">
        <f t="shared" si="310"/>
        <v>45790</v>
      </c>
      <c r="P319" s="124">
        <f t="shared" si="306"/>
        <v>3</v>
      </c>
      <c r="Q319" s="180">
        <f t="shared" si="358"/>
        <v>1</v>
      </c>
      <c r="R319" s="180">
        <f t="shared" si="358"/>
        <v>1</v>
      </c>
      <c r="S319" s="180">
        <f t="shared" si="358"/>
        <v>1</v>
      </c>
      <c r="T319" s="180">
        <f t="shared" si="358"/>
        <v>1</v>
      </c>
      <c r="U319" s="180">
        <f t="shared" si="358"/>
        <v>1</v>
      </c>
      <c r="V319" s="61">
        <f t="shared" si="307"/>
        <v>45790</v>
      </c>
      <c r="W319" s="124">
        <f t="shared" ref="W319" si="371">WEEKDAY(V319)</f>
        <v>3</v>
      </c>
      <c r="AC319" t="s">
        <v>199</v>
      </c>
      <c r="AD319" s="61">
        <f t="shared" si="312"/>
        <v>45790</v>
      </c>
      <c r="AE319">
        <f t="shared" si="301"/>
        <v>26</v>
      </c>
      <c r="AF319">
        <f t="shared" si="302"/>
        <v>26</v>
      </c>
      <c r="AG319">
        <f t="shared" si="303"/>
        <v>18</v>
      </c>
      <c r="AH319">
        <f t="shared" si="304"/>
        <v>18</v>
      </c>
      <c r="AI319">
        <f t="shared" si="305"/>
        <v>18</v>
      </c>
      <c r="AJ319"/>
    </row>
    <row r="320" spans="15:36" x14ac:dyDescent="0.25">
      <c r="O320" s="61">
        <f t="shared" si="310"/>
        <v>45791</v>
      </c>
      <c r="P320" s="124">
        <f t="shared" si="306"/>
        <v>4</v>
      </c>
      <c r="Q320" s="180">
        <f t="shared" si="358"/>
        <v>1</v>
      </c>
      <c r="R320" s="180">
        <f t="shared" si="358"/>
        <v>1</v>
      </c>
      <c r="S320" s="180">
        <f t="shared" si="358"/>
        <v>1</v>
      </c>
      <c r="T320" s="180">
        <f t="shared" si="358"/>
        <v>1</v>
      </c>
      <c r="U320" s="180">
        <f t="shared" si="358"/>
        <v>1</v>
      </c>
      <c r="V320" s="61">
        <f t="shared" si="307"/>
        <v>45791</v>
      </c>
      <c r="W320" s="124">
        <f t="shared" ref="W320" si="372">WEEKDAY(V320)</f>
        <v>4</v>
      </c>
      <c r="AC320" t="s">
        <v>198</v>
      </c>
      <c r="AD320" s="61">
        <f t="shared" si="312"/>
        <v>45791</v>
      </c>
      <c r="AE320">
        <f t="shared" si="301"/>
        <v>25</v>
      </c>
      <c r="AF320">
        <f t="shared" si="302"/>
        <v>25</v>
      </c>
      <c r="AG320">
        <f t="shared" si="303"/>
        <v>17</v>
      </c>
      <c r="AH320">
        <f t="shared" si="304"/>
        <v>17</v>
      </c>
      <c r="AI320">
        <f t="shared" si="305"/>
        <v>17</v>
      </c>
      <c r="AJ320"/>
    </row>
    <row r="321" spans="15:36" x14ac:dyDescent="0.25">
      <c r="O321" s="61">
        <f t="shared" si="310"/>
        <v>45792</v>
      </c>
      <c r="P321" s="124">
        <f t="shared" si="306"/>
        <v>5</v>
      </c>
      <c r="Q321" s="180">
        <f t="shared" si="358"/>
        <v>1</v>
      </c>
      <c r="R321" s="180">
        <f t="shared" si="358"/>
        <v>1</v>
      </c>
      <c r="S321" s="180">
        <f t="shared" si="358"/>
        <v>1</v>
      </c>
      <c r="T321" s="180">
        <f t="shared" si="358"/>
        <v>1</v>
      </c>
      <c r="U321" s="180">
        <f t="shared" si="358"/>
        <v>1</v>
      </c>
      <c r="V321" s="61">
        <f t="shared" si="307"/>
        <v>45792</v>
      </c>
      <c r="W321" s="124">
        <f t="shared" ref="W321" si="373">WEEKDAY(V321)</f>
        <v>5</v>
      </c>
      <c r="AC321" t="s">
        <v>199</v>
      </c>
      <c r="AD321" s="61">
        <f t="shared" si="312"/>
        <v>45792</v>
      </c>
      <c r="AE321">
        <f t="shared" si="301"/>
        <v>24</v>
      </c>
      <c r="AF321">
        <f t="shared" si="302"/>
        <v>24</v>
      </c>
      <c r="AG321">
        <f t="shared" si="303"/>
        <v>16</v>
      </c>
      <c r="AH321">
        <f t="shared" si="304"/>
        <v>16</v>
      </c>
      <c r="AI321">
        <f t="shared" si="305"/>
        <v>16</v>
      </c>
      <c r="AJ321"/>
    </row>
    <row r="322" spans="15:36" x14ac:dyDescent="0.25">
      <c r="O322" s="61">
        <f t="shared" si="310"/>
        <v>45793</v>
      </c>
      <c r="P322" s="124">
        <f t="shared" si="306"/>
        <v>6</v>
      </c>
      <c r="Q322" s="180">
        <f t="shared" si="358"/>
        <v>1</v>
      </c>
      <c r="R322" s="180">
        <f t="shared" si="358"/>
        <v>1</v>
      </c>
      <c r="S322" s="180">
        <f t="shared" si="358"/>
        <v>1</v>
      </c>
      <c r="T322" s="180">
        <f t="shared" si="358"/>
        <v>1</v>
      </c>
      <c r="U322" s="180">
        <f t="shared" si="358"/>
        <v>1</v>
      </c>
      <c r="V322" s="61">
        <f t="shared" si="307"/>
        <v>45793</v>
      </c>
      <c r="W322" s="124">
        <f t="shared" ref="W322" si="374">WEEKDAY(V322)</f>
        <v>6</v>
      </c>
      <c r="AC322" t="s">
        <v>198</v>
      </c>
      <c r="AD322" s="61">
        <f t="shared" si="312"/>
        <v>45793</v>
      </c>
      <c r="AE322">
        <f t="shared" si="301"/>
        <v>23</v>
      </c>
      <c r="AF322">
        <f t="shared" si="302"/>
        <v>23</v>
      </c>
      <c r="AG322">
        <f t="shared" si="303"/>
        <v>15</v>
      </c>
      <c r="AH322">
        <f t="shared" si="304"/>
        <v>15</v>
      </c>
      <c r="AI322">
        <f t="shared" si="305"/>
        <v>15</v>
      </c>
      <c r="AJ322"/>
    </row>
    <row r="323" spans="15:36" x14ac:dyDescent="0.25">
      <c r="O323" s="61">
        <f t="shared" si="310"/>
        <v>45794</v>
      </c>
      <c r="P323" s="124">
        <f t="shared" si="306"/>
        <v>7</v>
      </c>
      <c r="Q323" s="180" t="str">
        <f t="shared" si="358"/>
        <v/>
      </c>
      <c r="R323" s="180" t="str">
        <f t="shared" si="358"/>
        <v/>
      </c>
      <c r="S323" s="180" t="str">
        <f t="shared" si="358"/>
        <v/>
      </c>
      <c r="T323" s="180" t="str">
        <f t="shared" si="358"/>
        <v/>
      </c>
      <c r="U323" s="180" t="str">
        <f t="shared" si="358"/>
        <v/>
      </c>
      <c r="V323" s="61">
        <f t="shared" si="307"/>
        <v>45794</v>
      </c>
      <c r="W323" s="124">
        <f t="shared" ref="W323" si="375">WEEKDAY(V323)</f>
        <v>7</v>
      </c>
      <c r="AD323" s="61">
        <f t="shared" si="312"/>
        <v>45794</v>
      </c>
      <c r="AE323">
        <f t="shared" ref="AE323:AE386" si="376">AE322-(IF(Q323=1,1,0))</f>
        <v>23</v>
      </c>
      <c r="AF323">
        <f t="shared" ref="AF323:AF386" si="377">AF322-(IF(R323=1,1,0))</f>
        <v>23</v>
      </c>
      <c r="AG323">
        <f t="shared" ref="AG323:AG386" si="378">AG322-(IF(S323=1,1,0))</f>
        <v>15</v>
      </c>
      <c r="AH323">
        <f t="shared" ref="AH323:AH386" si="379">AH322-(IF(T323=1,1,0))</f>
        <v>15</v>
      </c>
      <c r="AI323">
        <f t="shared" ref="AI323:AI386" si="380">AI322-(IF(U323=1,1,0))</f>
        <v>15</v>
      </c>
      <c r="AJ323"/>
    </row>
    <row r="324" spans="15:36" x14ac:dyDescent="0.25">
      <c r="O324" s="61">
        <f t="shared" si="310"/>
        <v>45795</v>
      </c>
      <c r="P324" s="124">
        <f t="shared" ref="P324:P387" si="381">WEEKDAY(O324)</f>
        <v>1</v>
      </c>
      <c r="Q324" s="180" t="str">
        <f t="shared" si="358"/>
        <v/>
      </c>
      <c r="R324" s="180" t="str">
        <f t="shared" si="358"/>
        <v/>
      </c>
      <c r="S324" s="180" t="str">
        <f t="shared" si="358"/>
        <v/>
      </c>
      <c r="T324" s="180" t="str">
        <f t="shared" si="358"/>
        <v/>
      </c>
      <c r="U324" s="180" t="str">
        <f t="shared" si="358"/>
        <v/>
      </c>
      <c r="V324" s="61">
        <f t="shared" ref="V324:V387" si="382">V323+1</f>
        <v>45795</v>
      </c>
      <c r="W324" s="124">
        <f t="shared" ref="W324" si="383">WEEKDAY(V324)</f>
        <v>1</v>
      </c>
      <c r="AD324" s="61">
        <f t="shared" si="312"/>
        <v>45795</v>
      </c>
      <c r="AE324">
        <f t="shared" si="376"/>
        <v>23</v>
      </c>
      <c r="AF324">
        <f t="shared" si="377"/>
        <v>23</v>
      </c>
      <c r="AG324">
        <f t="shared" si="378"/>
        <v>15</v>
      </c>
      <c r="AH324">
        <f t="shared" si="379"/>
        <v>15</v>
      </c>
      <c r="AI324">
        <f t="shared" si="380"/>
        <v>15</v>
      </c>
      <c r="AJ324"/>
    </row>
    <row r="325" spans="15:36" x14ac:dyDescent="0.25">
      <c r="O325" s="61">
        <f t="shared" si="310"/>
        <v>45796</v>
      </c>
      <c r="P325" s="124">
        <f t="shared" si="381"/>
        <v>2</v>
      </c>
      <c r="Q325" s="180">
        <f t="shared" si="358"/>
        <v>1</v>
      </c>
      <c r="R325" s="180">
        <f t="shared" si="358"/>
        <v>1</v>
      </c>
      <c r="S325" s="180">
        <f t="shared" si="358"/>
        <v>1</v>
      </c>
      <c r="T325" s="180">
        <f t="shared" si="358"/>
        <v>1</v>
      </c>
      <c r="U325" s="180">
        <f t="shared" si="358"/>
        <v>1</v>
      </c>
      <c r="V325" s="61">
        <f t="shared" si="382"/>
        <v>45796</v>
      </c>
      <c r="W325" s="124">
        <f t="shared" ref="W325" si="384">WEEKDAY(V325)</f>
        <v>2</v>
      </c>
      <c r="AC325" t="s">
        <v>199</v>
      </c>
      <c r="AD325" s="61">
        <f t="shared" si="312"/>
        <v>45796</v>
      </c>
      <c r="AE325">
        <f t="shared" si="376"/>
        <v>22</v>
      </c>
      <c r="AF325">
        <f t="shared" si="377"/>
        <v>22</v>
      </c>
      <c r="AG325">
        <f t="shared" si="378"/>
        <v>14</v>
      </c>
      <c r="AH325">
        <f t="shared" si="379"/>
        <v>14</v>
      </c>
      <c r="AI325">
        <f t="shared" si="380"/>
        <v>14</v>
      </c>
      <c r="AJ325"/>
    </row>
    <row r="326" spans="15:36" x14ac:dyDescent="0.25">
      <c r="O326" s="61">
        <f t="shared" ref="O326:O389" si="385">O325+1</f>
        <v>45797</v>
      </c>
      <c r="P326" s="124">
        <f t="shared" si="381"/>
        <v>3</v>
      </c>
      <c r="Q326" s="180">
        <f t="shared" si="358"/>
        <v>1</v>
      </c>
      <c r="R326" s="180">
        <f t="shared" si="358"/>
        <v>1</v>
      </c>
      <c r="S326" s="180">
        <f t="shared" si="358"/>
        <v>1</v>
      </c>
      <c r="T326" s="180">
        <f t="shared" si="358"/>
        <v>1</v>
      </c>
      <c r="U326" s="180">
        <f t="shared" si="358"/>
        <v>1</v>
      </c>
      <c r="V326" s="61">
        <f t="shared" si="382"/>
        <v>45797</v>
      </c>
      <c r="W326" s="124">
        <f t="shared" ref="W326" si="386">WEEKDAY(V326)</f>
        <v>3</v>
      </c>
      <c r="AC326" t="s">
        <v>198</v>
      </c>
      <c r="AD326" s="61">
        <f t="shared" ref="AD326:AD389" si="387">AD325+1</f>
        <v>45797</v>
      </c>
      <c r="AE326">
        <f t="shared" si="376"/>
        <v>21</v>
      </c>
      <c r="AF326">
        <f t="shared" si="377"/>
        <v>21</v>
      </c>
      <c r="AG326">
        <f t="shared" si="378"/>
        <v>13</v>
      </c>
      <c r="AH326">
        <f t="shared" si="379"/>
        <v>13</v>
      </c>
      <c r="AI326">
        <f t="shared" si="380"/>
        <v>13</v>
      </c>
      <c r="AJ326"/>
    </row>
    <row r="327" spans="15:36" x14ac:dyDescent="0.25">
      <c r="O327" s="61">
        <f t="shared" si="385"/>
        <v>45798</v>
      </c>
      <c r="P327" s="124">
        <f t="shared" si="381"/>
        <v>4</v>
      </c>
      <c r="Q327" s="180">
        <f t="shared" si="358"/>
        <v>1</v>
      </c>
      <c r="R327" s="180">
        <f t="shared" si="358"/>
        <v>1</v>
      </c>
      <c r="S327" s="180">
        <f t="shared" si="358"/>
        <v>1</v>
      </c>
      <c r="T327" s="180">
        <f t="shared" si="358"/>
        <v>1</v>
      </c>
      <c r="U327" s="180">
        <f t="shared" si="358"/>
        <v>1</v>
      </c>
      <c r="V327" s="61">
        <f t="shared" si="382"/>
        <v>45798</v>
      </c>
      <c r="W327" s="124">
        <f t="shared" ref="W327" si="388">WEEKDAY(V327)</f>
        <v>4</v>
      </c>
      <c r="AC327" t="s">
        <v>199</v>
      </c>
      <c r="AD327" s="61">
        <f t="shared" si="387"/>
        <v>45798</v>
      </c>
      <c r="AE327">
        <f t="shared" si="376"/>
        <v>20</v>
      </c>
      <c r="AF327">
        <f t="shared" si="377"/>
        <v>20</v>
      </c>
      <c r="AG327">
        <f t="shared" si="378"/>
        <v>12</v>
      </c>
      <c r="AH327">
        <f t="shared" si="379"/>
        <v>12</v>
      </c>
      <c r="AI327">
        <f t="shared" si="380"/>
        <v>12</v>
      </c>
      <c r="AJ327"/>
    </row>
    <row r="328" spans="15:36" x14ac:dyDescent="0.25">
      <c r="O328" s="61">
        <f t="shared" si="385"/>
        <v>45799</v>
      </c>
      <c r="P328" s="124">
        <f t="shared" si="381"/>
        <v>5</v>
      </c>
      <c r="Q328" s="180">
        <f t="shared" si="358"/>
        <v>1</v>
      </c>
      <c r="R328" s="180">
        <f t="shared" si="358"/>
        <v>1</v>
      </c>
      <c r="S328" s="180">
        <f t="shared" si="358"/>
        <v>1</v>
      </c>
      <c r="T328" s="180">
        <f t="shared" si="358"/>
        <v>1</v>
      </c>
      <c r="U328" s="180">
        <f t="shared" si="358"/>
        <v>1</v>
      </c>
      <c r="V328" s="61">
        <f t="shared" si="382"/>
        <v>45799</v>
      </c>
      <c r="W328" s="124">
        <f t="shared" ref="W328" si="389">WEEKDAY(V328)</f>
        <v>5</v>
      </c>
      <c r="AC328" t="s">
        <v>198</v>
      </c>
      <c r="AD328" s="61">
        <f t="shared" si="387"/>
        <v>45799</v>
      </c>
      <c r="AE328">
        <f t="shared" si="376"/>
        <v>19</v>
      </c>
      <c r="AF328">
        <f t="shared" si="377"/>
        <v>19</v>
      </c>
      <c r="AG328">
        <f t="shared" si="378"/>
        <v>11</v>
      </c>
      <c r="AH328">
        <f t="shared" si="379"/>
        <v>11</v>
      </c>
      <c r="AI328">
        <f t="shared" si="380"/>
        <v>11</v>
      </c>
      <c r="AJ328"/>
    </row>
    <row r="329" spans="15:36" x14ac:dyDescent="0.25">
      <c r="O329" s="61">
        <f t="shared" si="385"/>
        <v>45800</v>
      </c>
      <c r="P329" s="124">
        <f t="shared" si="381"/>
        <v>6</v>
      </c>
      <c r="Q329" s="180">
        <f t="shared" si="358"/>
        <v>1</v>
      </c>
      <c r="R329" s="180">
        <f t="shared" si="358"/>
        <v>1</v>
      </c>
      <c r="S329" s="180">
        <f t="shared" si="358"/>
        <v>1</v>
      </c>
      <c r="T329" s="180">
        <f t="shared" si="358"/>
        <v>1</v>
      </c>
      <c r="U329" s="180">
        <f t="shared" si="358"/>
        <v>1</v>
      </c>
      <c r="V329" s="61">
        <f t="shared" si="382"/>
        <v>45800</v>
      </c>
      <c r="W329" s="124">
        <f t="shared" ref="W329" si="390">WEEKDAY(V329)</f>
        <v>6</v>
      </c>
      <c r="AC329" t="s">
        <v>199</v>
      </c>
      <c r="AD329" s="61">
        <f t="shared" si="387"/>
        <v>45800</v>
      </c>
      <c r="AE329">
        <f t="shared" si="376"/>
        <v>18</v>
      </c>
      <c r="AF329">
        <f t="shared" si="377"/>
        <v>18</v>
      </c>
      <c r="AG329">
        <f t="shared" si="378"/>
        <v>10</v>
      </c>
      <c r="AH329">
        <f t="shared" si="379"/>
        <v>10</v>
      </c>
      <c r="AI329">
        <f t="shared" si="380"/>
        <v>10</v>
      </c>
      <c r="AJ329"/>
    </row>
    <row r="330" spans="15:36" x14ac:dyDescent="0.25">
      <c r="O330" s="61">
        <f t="shared" si="385"/>
        <v>45801</v>
      </c>
      <c r="P330" s="124">
        <f t="shared" si="381"/>
        <v>7</v>
      </c>
      <c r="Q330" s="180" t="str">
        <f t="shared" si="358"/>
        <v/>
      </c>
      <c r="R330" s="180" t="str">
        <f t="shared" si="358"/>
        <v/>
      </c>
      <c r="S330" s="180" t="str">
        <f t="shared" si="358"/>
        <v/>
      </c>
      <c r="T330" s="180" t="str">
        <f t="shared" si="358"/>
        <v/>
      </c>
      <c r="U330" s="180" t="str">
        <f t="shared" si="358"/>
        <v/>
      </c>
      <c r="V330" s="61">
        <f t="shared" si="382"/>
        <v>45801</v>
      </c>
      <c r="W330" s="124">
        <f t="shared" ref="W330" si="391">WEEKDAY(V330)</f>
        <v>7</v>
      </c>
      <c r="AD330" s="61">
        <f t="shared" si="387"/>
        <v>45801</v>
      </c>
      <c r="AE330">
        <f t="shared" si="376"/>
        <v>18</v>
      </c>
      <c r="AF330">
        <f t="shared" si="377"/>
        <v>18</v>
      </c>
      <c r="AG330">
        <f t="shared" si="378"/>
        <v>10</v>
      </c>
      <c r="AH330">
        <f t="shared" si="379"/>
        <v>10</v>
      </c>
      <c r="AI330">
        <f t="shared" si="380"/>
        <v>10</v>
      </c>
      <c r="AJ330"/>
    </row>
    <row r="331" spans="15:36" x14ac:dyDescent="0.25">
      <c r="O331" s="61">
        <f t="shared" si="385"/>
        <v>45802</v>
      </c>
      <c r="P331" s="124">
        <f t="shared" si="381"/>
        <v>1</v>
      </c>
      <c r="Q331" s="180" t="str">
        <f t="shared" si="358"/>
        <v/>
      </c>
      <c r="R331" s="180" t="str">
        <f t="shared" si="358"/>
        <v/>
      </c>
      <c r="S331" s="180" t="str">
        <f t="shared" si="358"/>
        <v/>
      </c>
      <c r="T331" s="180" t="str">
        <f t="shared" si="358"/>
        <v/>
      </c>
      <c r="U331" s="180" t="str">
        <f t="shared" si="358"/>
        <v/>
      </c>
      <c r="V331" s="61">
        <f t="shared" si="382"/>
        <v>45802</v>
      </c>
      <c r="W331" s="124">
        <f t="shared" ref="W331" si="392">WEEKDAY(V331)</f>
        <v>1</v>
      </c>
      <c r="AD331" s="61">
        <f t="shared" si="387"/>
        <v>45802</v>
      </c>
      <c r="AE331">
        <f t="shared" si="376"/>
        <v>18</v>
      </c>
      <c r="AF331">
        <f t="shared" si="377"/>
        <v>18</v>
      </c>
      <c r="AG331">
        <f t="shared" si="378"/>
        <v>10</v>
      </c>
      <c r="AH331">
        <f t="shared" si="379"/>
        <v>10</v>
      </c>
      <c r="AI331">
        <f t="shared" si="380"/>
        <v>10</v>
      </c>
      <c r="AJ331"/>
    </row>
    <row r="332" spans="15:36" x14ac:dyDescent="0.25">
      <c r="O332" s="61">
        <f t="shared" si="385"/>
        <v>45803</v>
      </c>
      <c r="P332" s="124">
        <f t="shared" si="381"/>
        <v>2</v>
      </c>
      <c r="Q332" s="180" t="s">
        <v>177</v>
      </c>
      <c r="R332" s="180" t="s">
        <v>177</v>
      </c>
      <c r="S332" s="180" t="s">
        <v>177</v>
      </c>
      <c r="T332" s="180" t="s">
        <v>177</v>
      </c>
      <c r="U332" s="180" t="s">
        <v>177</v>
      </c>
      <c r="V332" s="61">
        <f t="shared" si="382"/>
        <v>45803</v>
      </c>
      <c r="W332" s="124">
        <f t="shared" ref="W332" si="393">WEEKDAY(V332)</f>
        <v>2</v>
      </c>
      <c r="AD332" s="61">
        <f t="shared" si="387"/>
        <v>45803</v>
      </c>
      <c r="AE332">
        <f t="shared" si="376"/>
        <v>18</v>
      </c>
      <c r="AF332">
        <f t="shared" si="377"/>
        <v>18</v>
      </c>
      <c r="AG332">
        <f t="shared" si="378"/>
        <v>10</v>
      </c>
      <c r="AH332">
        <f t="shared" si="379"/>
        <v>10</v>
      </c>
      <c r="AI332">
        <f t="shared" si="380"/>
        <v>10</v>
      </c>
      <c r="AJ332"/>
    </row>
    <row r="333" spans="15:36" x14ac:dyDescent="0.25">
      <c r="O333" s="61">
        <f t="shared" si="385"/>
        <v>45804</v>
      </c>
      <c r="P333" s="124">
        <f t="shared" si="381"/>
        <v>3</v>
      </c>
      <c r="Q333" s="180">
        <f t="shared" si="358"/>
        <v>1</v>
      </c>
      <c r="R333" s="180">
        <f t="shared" si="358"/>
        <v>1</v>
      </c>
      <c r="S333" s="180">
        <f t="shared" si="358"/>
        <v>1</v>
      </c>
      <c r="T333" s="180">
        <f t="shared" si="358"/>
        <v>1</v>
      </c>
      <c r="U333" s="180">
        <f t="shared" si="358"/>
        <v>1</v>
      </c>
      <c r="V333" s="61">
        <f t="shared" si="382"/>
        <v>45804</v>
      </c>
      <c r="W333" s="124">
        <f t="shared" ref="W333" si="394">WEEKDAY(V333)</f>
        <v>3</v>
      </c>
      <c r="AC333" t="s">
        <v>198</v>
      </c>
      <c r="AD333" s="61">
        <f t="shared" si="387"/>
        <v>45804</v>
      </c>
      <c r="AE333">
        <f t="shared" si="376"/>
        <v>17</v>
      </c>
      <c r="AF333">
        <f t="shared" si="377"/>
        <v>17</v>
      </c>
      <c r="AG333">
        <f t="shared" si="378"/>
        <v>9</v>
      </c>
      <c r="AH333">
        <f t="shared" si="379"/>
        <v>9</v>
      </c>
      <c r="AI333">
        <f t="shared" si="380"/>
        <v>9</v>
      </c>
      <c r="AJ333"/>
    </row>
    <row r="334" spans="15:36" x14ac:dyDescent="0.25">
      <c r="O334" s="61">
        <f t="shared" si="385"/>
        <v>45805</v>
      </c>
      <c r="P334" s="124">
        <f t="shared" si="381"/>
        <v>4</v>
      </c>
      <c r="Q334" s="180">
        <f t="shared" si="358"/>
        <v>1</v>
      </c>
      <c r="R334" s="180">
        <f t="shared" si="358"/>
        <v>1</v>
      </c>
      <c r="S334" s="180">
        <f t="shared" si="358"/>
        <v>1</v>
      </c>
      <c r="T334" s="180">
        <f t="shared" si="358"/>
        <v>1</v>
      </c>
      <c r="U334" s="180">
        <f t="shared" si="358"/>
        <v>1</v>
      </c>
      <c r="V334" s="61">
        <f t="shared" si="382"/>
        <v>45805</v>
      </c>
      <c r="W334" s="124">
        <f t="shared" ref="W334" si="395">WEEKDAY(V334)</f>
        <v>4</v>
      </c>
      <c r="AC334" t="s">
        <v>199</v>
      </c>
      <c r="AD334" s="61">
        <f t="shared" si="387"/>
        <v>45805</v>
      </c>
      <c r="AE334">
        <f t="shared" si="376"/>
        <v>16</v>
      </c>
      <c r="AF334">
        <f t="shared" si="377"/>
        <v>16</v>
      </c>
      <c r="AG334">
        <f t="shared" si="378"/>
        <v>8</v>
      </c>
      <c r="AH334">
        <f t="shared" si="379"/>
        <v>8</v>
      </c>
      <c r="AI334">
        <f t="shared" si="380"/>
        <v>8</v>
      </c>
      <c r="AJ334"/>
    </row>
    <row r="335" spans="15:36" x14ac:dyDescent="0.25">
      <c r="O335" s="61">
        <f t="shared" si="385"/>
        <v>45806</v>
      </c>
      <c r="P335" s="124">
        <f t="shared" si="381"/>
        <v>5</v>
      </c>
      <c r="Q335" s="180">
        <f t="shared" si="358"/>
        <v>1</v>
      </c>
      <c r="R335" s="180">
        <f t="shared" si="358"/>
        <v>1</v>
      </c>
      <c r="S335" s="180">
        <f t="shared" si="358"/>
        <v>1</v>
      </c>
      <c r="T335" s="180">
        <f t="shared" si="358"/>
        <v>1</v>
      </c>
      <c r="U335" s="180">
        <f t="shared" si="358"/>
        <v>1</v>
      </c>
      <c r="V335" s="61">
        <f t="shared" si="382"/>
        <v>45806</v>
      </c>
      <c r="W335" s="124">
        <f t="shared" ref="W335" si="396">WEEKDAY(V335)</f>
        <v>5</v>
      </c>
      <c r="AC335" t="s">
        <v>198</v>
      </c>
      <c r="AD335" s="61">
        <f t="shared" si="387"/>
        <v>45806</v>
      </c>
      <c r="AE335">
        <f t="shared" si="376"/>
        <v>15</v>
      </c>
      <c r="AF335">
        <f t="shared" si="377"/>
        <v>15</v>
      </c>
      <c r="AG335">
        <f t="shared" si="378"/>
        <v>7</v>
      </c>
      <c r="AH335">
        <f t="shared" si="379"/>
        <v>7</v>
      </c>
      <c r="AI335">
        <f t="shared" si="380"/>
        <v>7</v>
      </c>
      <c r="AJ335"/>
    </row>
    <row r="336" spans="15:36" x14ac:dyDescent="0.25">
      <c r="O336" s="61">
        <f t="shared" si="385"/>
        <v>45807</v>
      </c>
      <c r="P336" s="124">
        <f t="shared" si="381"/>
        <v>6</v>
      </c>
      <c r="Q336" s="180">
        <f t="shared" si="358"/>
        <v>1</v>
      </c>
      <c r="R336" s="180">
        <f t="shared" si="358"/>
        <v>1</v>
      </c>
      <c r="S336" s="180">
        <f t="shared" si="358"/>
        <v>1</v>
      </c>
      <c r="T336" s="180">
        <f t="shared" si="358"/>
        <v>1</v>
      </c>
      <c r="U336" s="180">
        <f t="shared" si="358"/>
        <v>1</v>
      </c>
      <c r="V336" s="61">
        <f t="shared" si="382"/>
        <v>45807</v>
      </c>
      <c r="W336" s="124">
        <f t="shared" ref="W336:W399" si="397">WEEKDAY(V336)</f>
        <v>6</v>
      </c>
      <c r="AC336" t="s">
        <v>199</v>
      </c>
      <c r="AD336" s="61">
        <f t="shared" si="387"/>
        <v>45807</v>
      </c>
      <c r="AE336">
        <f t="shared" si="376"/>
        <v>14</v>
      </c>
      <c r="AF336">
        <f t="shared" si="377"/>
        <v>14</v>
      </c>
      <c r="AG336">
        <f t="shared" si="378"/>
        <v>6</v>
      </c>
      <c r="AH336">
        <f t="shared" si="379"/>
        <v>6</v>
      </c>
      <c r="AI336">
        <f t="shared" si="380"/>
        <v>6</v>
      </c>
      <c r="AJ336"/>
    </row>
    <row r="337" spans="15:36" x14ac:dyDescent="0.25">
      <c r="O337" s="61">
        <f t="shared" si="385"/>
        <v>45808</v>
      </c>
      <c r="P337" s="124">
        <f t="shared" si="381"/>
        <v>7</v>
      </c>
      <c r="Q337" s="180" t="str">
        <f t="shared" si="358"/>
        <v/>
      </c>
      <c r="R337" s="180" t="str">
        <f t="shared" si="358"/>
        <v/>
      </c>
      <c r="S337" s="180" t="str">
        <f t="shared" si="358"/>
        <v/>
      </c>
      <c r="T337" s="180" t="str">
        <f t="shared" si="358"/>
        <v/>
      </c>
      <c r="U337" s="180" t="str">
        <f t="shared" si="358"/>
        <v/>
      </c>
      <c r="V337" s="61">
        <f t="shared" si="382"/>
        <v>45808</v>
      </c>
      <c r="W337" s="124">
        <f t="shared" si="397"/>
        <v>7</v>
      </c>
      <c r="AD337" s="61">
        <f t="shared" si="387"/>
        <v>45808</v>
      </c>
      <c r="AE337">
        <f t="shared" si="376"/>
        <v>14</v>
      </c>
      <c r="AF337">
        <f t="shared" si="377"/>
        <v>14</v>
      </c>
      <c r="AG337">
        <f t="shared" si="378"/>
        <v>6</v>
      </c>
      <c r="AH337">
        <f t="shared" si="379"/>
        <v>6</v>
      </c>
      <c r="AI337">
        <f t="shared" si="380"/>
        <v>6</v>
      </c>
      <c r="AJ337"/>
    </row>
    <row r="338" spans="15:36" x14ac:dyDescent="0.25">
      <c r="O338" s="61">
        <f t="shared" si="385"/>
        <v>45809</v>
      </c>
      <c r="P338" s="124">
        <f t="shared" si="381"/>
        <v>1</v>
      </c>
      <c r="Q338" s="180" t="str">
        <f t="shared" si="358"/>
        <v/>
      </c>
      <c r="R338" s="180" t="str">
        <f t="shared" si="358"/>
        <v/>
      </c>
      <c r="S338" s="180" t="str">
        <f t="shared" si="358"/>
        <v/>
      </c>
      <c r="T338" s="180" t="str">
        <f t="shared" si="358"/>
        <v/>
      </c>
      <c r="U338" s="180" t="str">
        <f t="shared" si="358"/>
        <v/>
      </c>
      <c r="V338" s="61">
        <f t="shared" si="382"/>
        <v>45809</v>
      </c>
      <c r="W338" s="124">
        <f t="shared" si="397"/>
        <v>1</v>
      </c>
      <c r="AD338" s="61">
        <f t="shared" si="387"/>
        <v>45809</v>
      </c>
      <c r="AE338">
        <f t="shared" si="376"/>
        <v>14</v>
      </c>
      <c r="AF338">
        <f t="shared" si="377"/>
        <v>14</v>
      </c>
      <c r="AG338">
        <f t="shared" si="378"/>
        <v>6</v>
      </c>
      <c r="AH338">
        <f t="shared" si="379"/>
        <v>6</v>
      </c>
      <c r="AI338">
        <f t="shared" si="380"/>
        <v>6</v>
      </c>
      <c r="AJ338"/>
    </row>
    <row r="339" spans="15:36" x14ac:dyDescent="0.25">
      <c r="O339" s="61">
        <f t="shared" si="385"/>
        <v>45810</v>
      </c>
      <c r="P339" s="124">
        <f t="shared" si="381"/>
        <v>2</v>
      </c>
      <c r="Q339" s="180">
        <f t="shared" si="358"/>
        <v>1</v>
      </c>
      <c r="R339" s="180">
        <f t="shared" si="358"/>
        <v>1</v>
      </c>
      <c r="S339" s="180">
        <f t="shared" si="358"/>
        <v>1</v>
      </c>
      <c r="T339" s="180">
        <f t="shared" si="358"/>
        <v>1</v>
      </c>
      <c r="U339" s="180">
        <f t="shared" si="358"/>
        <v>1</v>
      </c>
      <c r="V339" s="61">
        <f t="shared" si="382"/>
        <v>45810</v>
      </c>
      <c r="W339" s="124">
        <f t="shared" si="397"/>
        <v>2</v>
      </c>
      <c r="AC339" t="s">
        <v>198</v>
      </c>
      <c r="AD339" s="61">
        <f t="shared" si="387"/>
        <v>45810</v>
      </c>
      <c r="AE339">
        <f t="shared" si="376"/>
        <v>13</v>
      </c>
      <c r="AF339">
        <f t="shared" si="377"/>
        <v>13</v>
      </c>
      <c r="AG339">
        <f t="shared" si="378"/>
        <v>5</v>
      </c>
      <c r="AH339">
        <f t="shared" si="379"/>
        <v>5</v>
      </c>
      <c r="AI339">
        <f t="shared" si="380"/>
        <v>5</v>
      </c>
      <c r="AJ339"/>
    </row>
    <row r="340" spans="15:36" x14ac:dyDescent="0.25">
      <c r="O340" s="61">
        <f t="shared" si="385"/>
        <v>45811</v>
      </c>
      <c r="P340" s="124">
        <f t="shared" si="381"/>
        <v>3</v>
      </c>
      <c r="Q340" s="180">
        <f t="shared" si="358"/>
        <v>1</v>
      </c>
      <c r="R340" s="180">
        <f t="shared" si="358"/>
        <v>1</v>
      </c>
      <c r="S340" s="180">
        <f t="shared" si="358"/>
        <v>1</v>
      </c>
      <c r="T340" s="180">
        <f t="shared" si="358"/>
        <v>1</v>
      </c>
      <c r="U340" s="180">
        <f t="shared" si="358"/>
        <v>1</v>
      </c>
      <c r="V340" s="61">
        <f t="shared" si="382"/>
        <v>45811</v>
      </c>
      <c r="W340" s="124">
        <f t="shared" si="397"/>
        <v>3</v>
      </c>
      <c r="AC340" t="s">
        <v>199</v>
      </c>
      <c r="AD340" s="61">
        <f t="shared" si="387"/>
        <v>45811</v>
      </c>
      <c r="AE340">
        <f t="shared" si="376"/>
        <v>12</v>
      </c>
      <c r="AF340">
        <f t="shared" si="377"/>
        <v>12</v>
      </c>
      <c r="AG340">
        <f t="shared" si="378"/>
        <v>4</v>
      </c>
      <c r="AH340">
        <f t="shared" si="379"/>
        <v>4</v>
      </c>
      <c r="AI340">
        <f t="shared" si="380"/>
        <v>4</v>
      </c>
      <c r="AJ340"/>
    </row>
    <row r="341" spans="15:36" x14ac:dyDescent="0.25">
      <c r="O341" s="61">
        <f t="shared" si="385"/>
        <v>45812</v>
      </c>
      <c r="P341" s="124">
        <f t="shared" si="381"/>
        <v>4</v>
      </c>
      <c r="Q341" s="180">
        <f t="shared" si="358"/>
        <v>1</v>
      </c>
      <c r="R341" s="180">
        <f t="shared" si="358"/>
        <v>1</v>
      </c>
      <c r="S341" s="180">
        <f t="shared" si="358"/>
        <v>1</v>
      </c>
      <c r="T341" s="180">
        <f t="shared" si="358"/>
        <v>1</v>
      </c>
      <c r="U341" s="180">
        <f t="shared" si="358"/>
        <v>1</v>
      </c>
      <c r="V341" s="61">
        <f t="shared" si="382"/>
        <v>45812</v>
      </c>
      <c r="W341" s="124">
        <f t="shared" si="397"/>
        <v>4</v>
      </c>
      <c r="AC341" t="s">
        <v>198</v>
      </c>
      <c r="AD341" s="61">
        <f t="shared" si="387"/>
        <v>45812</v>
      </c>
      <c r="AE341">
        <f t="shared" si="376"/>
        <v>11</v>
      </c>
      <c r="AF341">
        <f t="shared" si="377"/>
        <v>11</v>
      </c>
      <c r="AG341">
        <f t="shared" si="378"/>
        <v>3</v>
      </c>
      <c r="AH341">
        <f t="shared" si="379"/>
        <v>3</v>
      </c>
      <c r="AI341">
        <f t="shared" si="380"/>
        <v>3</v>
      </c>
      <c r="AJ341"/>
    </row>
    <row r="342" spans="15:36" x14ac:dyDescent="0.25">
      <c r="O342" s="61">
        <f t="shared" si="385"/>
        <v>45813</v>
      </c>
      <c r="P342" s="124">
        <f t="shared" si="381"/>
        <v>5</v>
      </c>
      <c r="Q342" s="180">
        <f t="shared" si="358"/>
        <v>1</v>
      </c>
      <c r="R342" s="180">
        <f t="shared" si="358"/>
        <v>1</v>
      </c>
      <c r="S342" s="180">
        <f t="shared" si="358"/>
        <v>1</v>
      </c>
      <c r="T342" s="180">
        <f t="shared" si="358"/>
        <v>1</v>
      </c>
      <c r="U342" s="180">
        <f t="shared" si="358"/>
        <v>1</v>
      </c>
      <c r="V342" s="61">
        <f t="shared" si="382"/>
        <v>45813</v>
      </c>
      <c r="W342" s="124">
        <f t="shared" si="397"/>
        <v>5</v>
      </c>
      <c r="AC342" t="s">
        <v>199</v>
      </c>
      <c r="AD342" s="61">
        <f t="shared" si="387"/>
        <v>45813</v>
      </c>
      <c r="AE342">
        <f t="shared" si="376"/>
        <v>10</v>
      </c>
      <c r="AF342">
        <f t="shared" si="377"/>
        <v>10</v>
      </c>
      <c r="AG342">
        <f t="shared" si="378"/>
        <v>2</v>
      </c>
      <c r="AH342">
        <f t="shared" si="379"/>
        <v>2</v>
      </c>
      <c r="AI342">
        <f t="shared" si="380"/>
        <v>2</v>
      </c>
      <c r="AJ342"/>
    </row>
    <row r="343" spans="15:36" x14ac:dyDescent="0.25">
      <c r="O343" s="61">
        <f t="shared" si="385"/>
        <v>45814</v>
      </c>
      <c r="P343" s="124">
        <f t="shared" si="381"/>
        <v>6</v>
      </c>
      <c r="Q343" s="180">
        <f t="shared" si="358"/>
        <v>1</v>
      </c>
      <c r="R343" s="180">
        <f t="shared" si="358"/>
        <v>1</v>
      </c>
      <c r="S343" s="180">
        <f t="shared" si="358"/>
        <v>1</v>
      </c>
      <c r="T343" s="180">
        <f t="shared" si="358"/>
        <v>1</v>
      </c>
      <c r="U343" s="180">
        <f t="shared" si="358"/>
        <v>1</v>
      </c>
      <c r="V343" s="61">
        <f t="shared" si="382"/>
        <v>45814</v>
      </c>
      <c r="W343" s="124">
        <f t="shared" si="397"/>
        <v>6</v>
      </c>
      <c r="AC343" t="s">
        <v>198</v>
      </c>
      <c r="AD343" s="61">
        <f t="shared" si="387"/>
        <v>45814</v>
      </c>
      <c r="AE343">
        <f t="shared" si="376"/>
        <v>9</v>
      </c>
      <c r="AF343">
        <f t="shared" si="377"/>
        <v>9</v>
      </c>
      <c r="AG343">
        <f t="shared" si="378"/>
        <v>1</v>
      </c>
      <c r="AH343">
        <f t="shared" si="379"/>
        <v>1</v>
      </c>
      <c r="AI343">
        <f t="shared" si="380"/>
        <v>1</v>
      </c>
      <c r="AJ343"/>
    </row>
    <row r="344" spans="15:36" x14ac:dyDescent="0.25">
      <c r="O344" s="61">
        <f t="shared" si="385"/>
        <v>45815</v>
      </c>
      <c r="P344" s="124">
        <f>WEEKDAY(O344)</f>
        <v>7</v>
      </c>
      <c r="Q344" s="180" t="str">
        <f t="shared" si="358"/>
        <v/>
      </c>
      <c r="R344" s="180" t="str">
        <f t="shared" si="358"/>
        <v/>
      </c>
      <c r="S344" s="180" t="str">
        <f t="shared" si="358"/>
        <v/>
      </c>
      <c r="T344" s="180" t="str">
        <f t="shared" si="358"/>
        <v/>
      </c>
      <c r="U344" s="180" t="str">
        <f t="shared" si="358"/>
        <v/>
      </c>
      <c r="V344" s="61">
        <f t="shared" si="382"/>
        <v>45815</v>
      </c>
      <c r="W344" s="124">
        <f t="shared" si="397"/>
        <v>7</v>
      </c>
      <c r="AD344" s="61">
        <f t="shared" si="387"/>
        <v>45815</v>
      </c>
      <c r="AE344">
        <f t="shared" si="376"/>
        <v>9</v>
      </c>
      <c r="AF344">
        <f t="shared" si="377"/>
        <v>9</v>
      </c>
      <c r="AG344">
        <f t="shared" si="378"/>
        <v>1</v>
      </c>
      <c r="AH344">
        <f t="shared" si="379"/>
        <v>1</v>
      </c>
      <c r="AI344">
        <f t="shared" si="380"/>
        <v>1</v>
      </c>
      <c r="AJ344"/>
    </row>
    <row r="345" spans="15:36" x14ac:dyDescent="0.25">
      <c r="O345" s="61">
        <f t="shared" si="385"/>
        <v>45816</v>
      </c>
      <c r="P345" s="124">
        <f t="shared" si="381"/>
        <v>1</v>
      </c>
      <c r="Q345" s="180" t="str">
        <f t="shared" si="358"/>
        <v/>
      </c>
      <c r="R345" s="180" t="str">
        <f t="shared" si="358"/>
        <v/>
      </c>
      <c r="S345" s="180" t="str">
        <f t="shared" si="358"/>
        <v/>
      </c>
      <c r="T345" s="180" t="str">
        <f t="shared" si="358"/>
        <v/>
      </c>
      <c r="U345" s="180" t="str">
        <f t="shared" si="358"/>
        <v/>
      </c>
      <c r="V345" s="61">
        <f t="shared" si="382"/>
        <v>45816</v>
      </c>
      <c r="W345" s="124">
        <f t="shared" si="397"/>
        <v>1</v>
      </c>
      <c r="AD345" s="61">
        <f t="shared" si="387"/>
        <v>45816</v>
      </c>
      <c r="AE345">
        <f t="shared" si="376"/>
        <v>9</v>
      </c>
      <c r="AF345">
        <f t="shared" si="377"/>
        <v>9</v>
      </c>
      <c r="AG345">
        <f t="shared" si="378"/>
        <v>1</v>
      </c>
      <c r="AH345">
        <f t="shared" si="379"/>
        <v>1</v>
      </c>
      <c r="AI345">
        <f t="shared" si="380"/>
        <v>1</v>
      </c>
      <c r="AJ345"/>
    </row>
    <row r="346" spans="15:36" x14ac:dyDescent="0.25">
      <c r="O346" s="61">
        <f t="shared" si="385"/>
        <v>45817</v>
      </c>
      <c r="P346" s="124">
        <f t="shared" si="381"/>
        <v>2</v>
      </c>
      <c r="Q346" s="180">
        <f t="shared" si="358"/>
        <v>1</v>
      </c>
      <c r="R346" s="180">
        <f t="shared" si="358"/>
        <v>1</v>
      </c>
      <c r="S346" s="180">
        <f t="shared" si="358"/>
        <v>1</v>
      </c>
      <c r="T346" s="180">
        <f t="shared" si="358"/>
        <v>1</v>
      </c>
      <c r="U346" s="180">
        <f t="shared" si="358"/>
        <v>1</v>
      </c>
      <c r="V346" s="61">
        <f t="shared" si="382"/>
        <v>45817</v>
      </c>
      <c r="W346" s="124">
        <f t="shared" si="397"/>
        <v>2</v>
      </c>
      <c r="AD346" s="61">
        <f t="shared" si="387"/>
        <v>45817</v>
      </c>
      <c r="AE346">
        <f t="shared" si="376"/>
        <v>8</v>
      </c>
      <c r="AF346">
        <f t="shared" si="377"/>
        <v>8</v>
      </c>
      <c r="AG346">
        <f t="shared" si="378"/>
        <v>0</v>
      </c>
      <c r="AH346">
        <f t="shared" si="379"/>
        <v>0</v>
      </c>
      <c r="AI346">
        <f t="shared" si="380"/>
        <v>0</v>
      </c>
      <c r="AJ346"/>
    </row>
    <row r="347" spans="15:36" x14ac:dyDescent="0.25">
      <c r="O347" s="61">
        <f t="shared" si="385"/>
        <v>45818</v>
      </c>
      <c r="P347" s="124">
        <f t="shared" si="381"/>
        <v>3</v>
      </c>
      <c r="Q347" s="180">
        <f t="shared" si="358"/>
        <v>1</v>
      </c>
      <c r="R347" s="180">
        <f t="shared" si="358"/>
        <v>1</v>
      </c>
      <c r="S347" s="180" t="s">
        <v>155</v>
      </c>
      <c r="T347" s="180" t="s">
        <v>155</v>
      </c>
      <c r="U347" s="180" t="s">
        <v>155</v>
      </c>
      <c r="V347" s="61">
        <f t="shared" si="382"/>
        <v>45818</v>
      </c>
      <c r="W347" s="124">
        <f t="shared" si="397"/>
        <v>3</v>
      </c>
      <c r="AD347" s="61">
        <f t="shared" si="387"/>
        <v>45818</v>
      </c>
      <c r="AE347">
        <f t="shared" si="376"/>
        <v>7</v>
      </c>
      <c r="AF347">
        <f t="shared" si="377"/>
        <v>7</v>
      </c>
      <c r="AG347">
        <f t="shared" si="378"/>
        <v>0</v>
      </c>
      <c r="AH347">
        <f t="shared" si="379"/>
        <v>0</v>
      </c>
      <c r="AI347">
        <f t="shared" si="380"/>
        <v>0</v>
      </c>
      <c r="AJ347"/>
    </row>
    <row r="348" spans="15:36" x14ac:dyDescent="0.25">
      <c r="O348" s="61">
        <f t="shared" si="385"/>
        <v>45819</v>
      </c>
      <c r="P348" s="124">
        <f t="shared" si="381"/>
        <v>4</v>
      </c>
      <c r="Q348" s="180">
        <f t="shared" si="358"/>
        <v>1</v>
      </c>
      <c r="R348" s="180">
        <f t="shared" si="358"/>
        <v>1</v>
      </c>
      <c r="S348" s="180" t="s">
        <v>155</v>
      </c>
      <c r="T348" s="180" t="s">
        <v>155</v>
      </c>
      <c r="U348" s="180" t="s">
        <v>155</v>
      </c>
      <c r="V348" s="61">
        <f t="shared" si="382"/>
        <v>45819</v>
      </c>
      <c r="W348" s="124">
        <f t="shared" si="397"/>
        <v>4</v>
      </c>
      <c r="AD348" s="61">
        <f t="shared" si="387"/>
        <v>45819</v>
      </c>
      <c r="AE348">
        <f t="shared" si="376"/>
        <v>6</v>
      </c>
      <c r="AF348">
        <f t="shared" si="377"/>
        <v>6</v>
      </c>
      <c r="AG348">
        <f t="shared" si="378"/>
        <v>0</v>
      </c>
      <c r="AH348">
        <f t="shared" si="379"/>
        <v>0</v>
      </c>
      <c r="AI348">
        <f t="shared" si="380"/>
        <v>0</v>
      </c>
      <c r="AJ348"/>
    </row>
    <row r="349" spans="15:36" x14ac:dyDescent="0.25">
      <c r="O349" s="61">
        <f t="shared" si="385"/>
        <v>45820</v>
      </c>
      <c r="P349" s="124">
        <f t="shared" si="381"/>
        <v>5</v>
      </c>
      <c r="Q349" s="180">
        <f t="shared" si="358"/>
        <v>1</v>
      </c>
      <c r="R349" s="180">
        <f t="shared" si="358"/>
        <v>1</v>
      </c>
      <c r="S349" s="180" t="s">
        <v>155</v>
      </c>
      <c r="T349" s="180" t="s">
        <v>155</v>
      </c>
      <c r="U349" s="180" t="s">
        <v>155</v>
      </c>
      <c r="V349" s="61">
        <f t="shared" si="382"/>
        <v>45820</v>
      </c>
      <c r="W349" s="124">
        <f t="shared" si="397"/>
        <v>5</v>
      </c>
      <c r="AD349" s="61">
        <f t="shared" si="387"/>
        <v>45820</v>
      </c>
      <c r="AE349">
        <f t="shared" si="376"/>
        <v>5</v>
      </c>
      <c r="AF349">
        <f t="shared" si="377"/>
        <v>5</v>
      </c>
      <c r="AG349">
        <f t="shared" si="378"/>
        <v>0</v>
      </c>
      <c r="AH349">
        <f t="shared" si="379"/>
        <v>0</v>
      </c>
      <c r="AI349">
        <f t="shared" si="380"/>
        <v>0</v>
      </c>
      <c r="AJ349"/>
    </row>
    <row r="350" spans="15:36" x14ac:dyDescent="0.25">
      <c r="O350" s="61">
        <f t="shared" si="385"/>
        <v>45821</v>
      </c>
      <c r="P350" s="124">
        <f t="shared" si="381"/>
        <v>6</v>
      </c>
      <c r="Q350" s="180">
        <f t="shared" si="358"/>
        <v>1</v>
      </c>
      <c r="R350" s="180">
        <f t="shared" si="358"/>
        <v>1</v>
      </c>
      <c r="S350" s="180" t="s">
        <v>155</v>
      </c>
      <c r="T350" s="180" t="s">
        <v>155</v>
      </c>
      <c r="U350" s="180" t="s">
        <v>155</v>
      </c>
      <c r="V350" s="61">
        <f t="shared" si="382"/>
        <v>45821</v>
      </c>
      <c r="W350" s="124">
        <f t="shared" si="397"/>
        <v>6</v>
      </c>
      <c r="AD350" s="61">
        <f t="shared" si="387"/>
        <v>45821</v>
      </c>
      <c r="AE350">
        <f t="shared" si="376"/>
        <v>4</v>
      </c>
      <c r="AF350">
        <f t="shared" si="377"/>
        <v>4</v>
      </c>
      <c r="AG350">
        <f t="shared" si="378"/>
        <v>0</v>
      </c>
      <c r="AH350">
        <f t="shared" si="379"/>
        <v>0</v>
      </c>
      <c r="AI350">
        <f t="shared" si="380"/>
        <v>0</v>
      </c>
      <c r="AJ350"/>
    </row>
    <row r="351" spans="15:36" x14ac:dyDescent="0.25">
      <c r="O351" s="61">
        <f t="shared" si="385"/>
        <v>45822</v>
      </c>
      <c r="P351" s="124">
        <f t="shared" si="381"/>
        <v>7</v>
      </c>
      <c r="Q351" s="180" t="str">
        <f t="shared" si="358"/>
        <v/>
      </c>
      <c r="R351" s="180" t="str">
        <f t="shared" si="358"/>
        <v/>
      </c>
      <c r="S351" s="180" t="s">
        <v>155</v>
      </c>
      <c r="T351" s="180" t="s">
        <v>155</v>
      </c>
      <c r="U351" s="180" t="s">
        <v>155</v>
      </c>
      <c r="V351" s="61">
        <f t="shared" si="382"/>
        <v>45822</v>
      </c>
      <c r="W351" s="124">
        <f t="shared" si="397"/>
        <v>7</v>
      </c>
      <c r="AD351" s="61">
        <f t="shared" si="387"/>
        <v>45822</v>
      </c>
      <c r="AE351">
        <f t="shared" si="376"/>
        <v>4</v>
      </c>
      <c r="AF351">
        <f t="shared" si="377"/>
        <v>4</v>
      </c>
      <c r="AG351">
        <f t="shared" si="378"/>
        <v>0</v>
      </c>
      <c r="AH351">
        <f t="shared" si="379"/>
        <v>0</v>
      </c>
      <c r="AI351">
        <f t="shared" si="380"/>
        <v>0</v>
      </c>
      <c r="AJ351"/>
    </row>
    <row r="352" spans="15:36" x14ac:dyDescent="0.25">
      <c r="O352" s="61">
        <f t="shared" si="385"/>
        <v>45823</v>
      </c>
      <c r="P352" s="124">
        <f t="shared" si="381"/>
        <v>1</v>
      </c>
      <c r="Q352" s="180" t="str">
        <f t="shared" si="358"/>
        <v/>
      </c>
      <c r="R352" s="180" t="str">
        <f t="shared" si="358"/>
        <v/>
      </c>
      <c r="S352" s="180" t="s">
        <v>155</v>
      </c>
      <c r="T352" s="180" t="s">
        <v>155</v>
      </c>
      <c r="U352" s="180" t="s">
        <v>155</v>
      </c>
      <c r="V352" s="61">
        <f t="shared" si="382"/>
        <v>45823</v>
      </c>
      <c r="W352" s="124">
        <f t="shared" si="397"/>
        <v>1</v>
      </c>
      <c r="AD352" s="61">
        <f t="shared" si="387"/>
        <v>45823</v>
      </c>
      <c r="AE352">
        <f t="shared" si="376"/>
        <v>4</v>
      </c>
      <c r="AF352">
        <f t="shared" si="377"/>
        <v>4</v>
      </c>
      <c r="AG352">
        <f t="shared" si="378"/>
        <v>0</v>
      </c>
      <c r="AH352">
        <f t="shared" si="379"/>
        <v>0</v>
      </c>
      <c r="AI352">
        <f t="shared" si="380"/>
        <v>0</v>
      </c>
      <c r="AJ352"/>
    </row>
    <row r="353" spans="15:36" x14ac:dyDescent="0.25">
      <c r="O353" s="61">
        <f t="shared" si="385"/>
        <v>45824</v>
      </c>
      <c r="P353" s="124">
        <f t="shared" si="381"/>
        <v>2</v>
      </c>
      <c r="Q353" s="180">
        <f t="shared" si="358"/>
        <v>1</v>
      </c>
      <c r="R353" s="180">
        <f t="shared" si="358"/>
        <v>1</v>
      </c>
      <c r="S353" s="180" t="s">
        <v>155</v>
      </c>
      <c r="T353" s="180" t="s">
        <v>155</v>
      </c>
      <c r="U353" s="180" t="s">
        <v>155</v>
      </c>
      <c r="V353" s="61">
        <f t="shared" si="382"/>
        <v>45824</v>
      </c>
      <c r="W353" s="124">
        <f t="shared" si="397"/>
        <v>2</v>
      </c>
      <c r="AD353" s="61">
        <f t="shared" si="387"/>
        <v>45824</v>
      </c>
      <c r="AE353">
        <f t="shared" si="376"/>
        <v>3</v>
      </c>
      <c r="AF353">
        <f t="shared" si="377"/>
        <v>3</v>
      </c>
      <c r="AG353">
        <f t="shared" si="378"/>
        <v>0</v>
      </c>
      <c r="AH353">
        <f t="shared" si="379"/>
        <v>0</v>
      </c>
      <c r="AI353">
        <f t="shared" si="380"/>
        <v>0</v>
      </c>
      <c r="AJ353"/>
    </row>
    <row r="354" spans="15:36" x14ac:dyDescent="0.25">
      <c r="O354" s="61">
        <f t="shared" si="385"/>
        <v>45825</v>
      </c>
      <c r="P354" s="124">
        <f t="shared" si="381"/>
        <v>3</v>
      </c>
      <c r="Q354" s="180">
        <f t="shared" si="358"/>
        <v>1</v>
      </c>
      <c r="R354" s="180">
        <f t="shared" si="358"/>
        <v>1</v>
      </c>
      <c r="S354" s="180" t="s">
        <v>155</v>
      </c>
      <c r="T354" s="180" t="s">
        <v>155</v>
      </c>
      <c r="U354" s="180" t="s">
        <v>155</v>
      </c>
      <c r="V354" s="61">
        <f t="shared" si="382"/>
        <v>45825</v>
      </c>
      <c r="W354" s="124">
        <f t="shared" si="397"/>
        <v>3</v>
      </c>
      <c r="AD354" s="61">
        <f t="shared" si="387"/>
        <v>45825</v>
      </c>
      <c r="AE354">
        <f t="shared" si="376"/>
        <v>2</v>
      </c>
      <c r="AF354">
        <f t="shared" si="377"/>
        <v>2</v>
      </c>
      <c r="AG354">
        <f t="shared" si="378"/>
        <v>0</v>
      </c>
      <c r="AH354">
        <f t="shared" si="379"/>
        <v>0</v>
      </c>
      <c r="AI354">
        <f t="shared" si="380"/>
        <v>0</v>
      </c>
      <c r="AJ354"/>
    </row>
    <row r="355" spans="15:36" x14ac:dyDescent="0.25">
      <c r="O355" s="61">
        <f t="shared" si="385"/>
        <v>45826</v>
      </c>
      <c r="P355" s="124">
        <f t="shared" si="381"/>
        <v>4</v>
      </c>
      <c r="Q355" s="180">
        <f t="shared" si="358"/>
        <v>1</v>
      </c>
      <c r="R355" s="180">
        <f t="shared" si="358"/>
        <v>1</v>
      </c>
      <c r="S355" s="180" t="s">
        <v>155</v>
      </c>
      <c r="T355" s="180" t="s">
        <v>155</v>
      </c>
      <c r="U355" s="180" t="s">
        <v>155</v>
      </c>
      <c r="V355" s="61">
        <f t="shared" si="382"/>
        <v>45826</v>
      </c>
      <c r="W355" s="124">
        <f t="shared" si="397"/>
        <v>4</v>
      </c>
      <c r="AD355" s="61">
        <f t="shared" si="387"/>
        <v>45826</v>
      </c>
      <c r="AE355">
        <f t="shared" si="376"/>
        <v>1</v>
      </c>
      <c r="AF355">
        <f t="shared" si="377"/>
        <v>1</v>
      </c>
      <c r="AG355">
        <f t="shared" si="378"/>
        <v>0</v>
      </c>
      <c r="AH355">
        <f t="shared" si="379"/>
        <v>0</v>
      </c>
      <c r="AI355">
        <f t="shared" si="380"/>
        <v>0</v>
      </c>
      <c r="AJ355"/>
    </row>
    <row r="356" spans="15:36" x14ac:dyDescent="0.25">
      <c r="O356" s="61">
        <f t="shared" si="385"/>
        <v>45827</v>
      </c>
      <c r="P356" s="124">
        <f t="shared" si="381"/>
        <v>5</v>
      </c>
      <c r="Q356" s="180">
        <f t="shared" si="358"/>
        <v>1</v>
      </c>
      <c r="R356" s="180">
        <f t="shared" si="358"/>
        <v>1</v>
      </c>
      <c r="S356" s="180" t="s">
        <v>155</v>
      </c>
      <c r="T356" s="180" t="s">
        <v>155</v>
      </c>
      <c r="U356" s="180" t="s">
        <v>155</v>
      </c>
      <c r="V356" s="61">
        <f t="shared" si="382"/>
        <v>45827</v>
      </c>
      <c r="W356" s="124">
        <f t="shared" si="397"/>
        <v>5</v>
      </c>
      <c r="AD356" s="61">
        <f t="shared" si="387"/>
        <v>45827</v>
      </c>
      <c r="AE356">
        <f t="shared" si="376"/>
        <v>0</v>
      </c>
      <c r="AF356">
        <f t="shared" si="377"/>
        <v>0</v>
      </c>
      <c r="AG356">
        <f t="shared" si="378"/>
        <v>0</v>
      </c>
      <c r="AH356">
        <f t="shared" si="379"/>
        <v>0</v>
      </c>
      <c r="AI356">
        <f t="shared" si="380"/>
        <v>0</v>
      </c>
      <c r="AJ356"/>
    </row>
    <row r="357" spans="15:36" x14ac:dyDescent="0.25">
      <c r="O357" s="61">
        <f t="shared" si="385"/>
        <v>45828</v>
      </c>
      <c r="P357" s="124">
        <f t="shared" si="381"/>
        <v>6</v>
      </c>
      <c r="Q357" s="180" t="s">
        <v>155</v>
      </c>
      <c r="R357" s="180" t="s">
        <v>155</v>
      </c>
      <c r="S357" s="180" t="s">
        <v>155</v>
      </c>
      <c r="T357" s="180" t="s">
        <v>155</v>
      </c>
      <c r="U357" s="180" t="s">
        <v>155</v>
      </c>
      <c r="V357" s="61">
        <f t="shared" si="382"/>
        <v>45828</v>
      </c>
      <c r="W357" s="124">
        <f t="shared" si="397"/>
        <v>6</v>
      </c>
      <c r="AD357" s="61">
        <f t="shared" si="387"/>
        <v>45828</v>
      </c>
      <c r="AE357">
        <f t="shared" si="376"/>
        <v>0</v>
      </c>
      <c r="AF357">
        <f t="shared" si="377"/>
        <v>0</v>
      </c>
      <c r="AG357">
        <f t="shared" si="378"/>
        <v>0</v>
      </c>
      <c r="AH357">
        <f t="shared" si="379"/>
        <v>0</v>
      </c>
      <c r="AI357">
        <f t="shared" si="380"/>
        <v>0</v>
      </c>
      <c r="AJ357"/>
    </row>
    <row r="358" spans="15:36" x14ac:dyDescent="0.25">
      <c r="O358" s="61">
        <f t="shared" si="385"/>
        <v>45829</v>
      </c>
      <c r="P358" s="124">
        <f t="shared" si="381"/>
        <v>7</v>
      </c>
      <c r="Q358" s="180" t="s">
        <v>155</v>
      </c>
      <c r="R358" s="180" t="s">
        <v>155</v>
      </c>
      <c r="S358" s="180" t="s">
        <v>155</v>
      </c>
      <c r="T358" s="180" t="s">
        <v>155</v>
      </c>
      <c r="U358" s="180" t="s">
        <v>155</v>
      </c>
      <c r="V358" s="61">
        <f t="shared" si="382"/>
        <v>45829</v>
      </c>
      <c r="W358" s="124">
        <f t="shared" si="397"/>
        <v>7</v>
      </c>
      <c r="AD358" s="61">
        <f t="shared" si="387"/>
        <v>45829</v>
      </c>
      <c r="AE358">
        <f t="shared" si="376"/>
        <v>0</v>
      </c>
      <c r="AF358">
        <f t="shared" si="377"/>
        <v>0</v>
      </c>
      <c r="AG358">
        <f t="shared" si="378"/>
        <v>0</v>
      </c>
      <c r="AH358">
        <f t="shared" si="379"/>
        <v>0</v>
      </c>
      <c r="AI358">
        <f t="shared" si="380"/>
        <v>0</v>
      </c>
      <c r="AJ358"/>
    </row>
    <row r="359" spans="15:36" x14ac:dyDescent="0.25">
      <c r="O359" s="61">
        <f t="shared" si="385"/>
        <v>45830</v>
      </c>
      <c r="P359" s="124">
        <f t="shared" si="381"/>
        <v>1</v>
      </c>
      <c r="Q359" s="180" t="s">
        <v>155</v>
      </c>
      <c r="R359" s="180" t="s">
        <v>155</v>
      </c>
      <c r="S359" s="180" t="s">
        <v>155</v>
      </c>
      <c r="T359" s="180" t="s">
        <v>155</v>
      </c>
      <c r="U359" s="180" t="s">
        <v>155</v>
      </c>
      <c r="V359" s="61">
        <f t="shared" si="382"/>
        <v>45830</v>
      </c>
      <c r="W359" s="124">
        <f t="shared" si="397"/>
        <v>1</v>
      </c>
      <c r="AD359" s="61">
        <f t="shared" si="387"/>
        <v>45830</v>
      </c>
      <c r="AE359">
        <f t="shared" si="376"/>
        <v>0</v>
      </c>
      <c r="AF359">
        <f t="shared" si="377"/>
        <v>0</v>
      </c>
      <c r="AG359">
        <f t="shared" si="378"/>
        <v>0</v>
      </c>
      <c r="AH359">
        <f t="shared" si="379"/>
        <v>0</v>
      </c>
      <c r="AI359">
        <f t="shared" si="380"/>
        <v>0</v>
      </c>
      <c r="AJ359"/>
    </row>
    <row r="360" spans="15:36" x14ac:dyDescent="0.25">
      <c r="O360" s="61">
        <f t="shared" si="385"/>
        <v>45831</v>
      </c>
      <c r="P360" s="124">
        <f t="shared" si="381"/>
        <v>2</v>
      </c>
      <c r="Q360" s="180" t="s">
        <v>155</v>
      </c>
      <c r="R360" s="180" t="s">
        <v>155</v>
      </c>
      <c r="S360" s="180" t="s">
        <v>155</v>
      </c>
      <c r="T360" s="180" t="s">
        <v>155</v>
      </c>
      <c r="U360" s="180" t="s">
        <v>155</v>
      </c>
      <c r="V360" s="61">
        <f t="shared" si="382"/>
        <v>45831</v>
      </c>
      <c r="W360" s="124">
        <f t="shared" si="397"/>
        <v>2</v>
      </c>
      <c r="AD360" s="61">
        <f t="shared" si="387"/>
        <v>45831</v>
      </c>
      <c r="AE360">
        <f t="shared" si="376"/>
        <v>0</v>
      </c>
      <c r="AF360">
        <f t="shared" si="377"/>
        <v>0</v>
      </c>
      <c r="AG360">
        <f t="shared" si="378"/>
        <v>0</v>
      </c>
      <c r="AH360">
        <f t="shared" si="379"/>
        <v>0</v>
      </c>
      <c r="AI360">
        <f t="shared" si="380"/>
        <v>0</v>
      </c>
      <c r="AJ360"/>
    </row>
    <row r="361" spans="15:36" x14ac:dyDescent="0.25">
      <c r="O361" s="61">
        <f t="shared" si="385"/>
        <v>45832</v>
      </c>
      <c r="P361" s="124">
        <f t="shared" si="381"/>
        <v>3</v>
      </c>
      <c r="Q361" s="180" t="s">
        <v>155</v>
      </c>
      <c r="R361" s="180" t="s">
        <v>155</v>
      </c>
      <c r="S361" s="180" t="s">
        <v>155</v>
      </c>
      <c r="T361" s="180" t="s">
        <v>155</v>
      </c>
      <c r="U361" s="180" t="s">
        <v>155</v>
      </c>
      <c r="V361" s="61">
        <f t="shared" si="382"/>
        <v>45832</v>
      </c>
      <c r="W361" s="124">
        <f t="shared" si="397"/>
        <v>3</v>
      </c>
      <c r="AD361" s="61">
        <f t="shared" si="387"/>
        <v>45832</v>
      </c>
      <c r="AE361">
        <f t="shared" si="376"/>
        <v>0</v>
      </c>
      <c r="AF361">
        <f t="shared" si="377"/>
        <v>0</v>
      </c>
      <c r="AG361">
        <f t="shared" si="378"/>
        <v>0</v>
      </c>
      <c r="AH361">
        <f t="shared" si="379"/>
        <v>0</v>
      </c>
      <c r="AI361">
        <f t="shared" si="380"/>
        <v>0</v>
      </c>
      <c r="AJ361"/>
    </row>
    <row r="362" spans="15:36" x14ac:dyDescent="0.25">
      <c r="O362" s="61">
        <f t="shared" si="385"/>
        <v>45833</v>
      </c>
      <c r="P362" s="124">
        <f t="shared" si="381"/>
        <v>4</v>
      </c>
      <c r="Q362" s="180" t="s">
        <v>155</v>
      </c>
      <c r="R362" s="180" t="s">
        <v>155</v>
      </c>
      <c r="S362" s="180" t="s">
        <v>155</v>
      </c>
      <c r="T362" s="180" t="s">
        <v>155</v>
      </c>
      <c r="U362" s="180" t="s">
        <v>155</v>
      </c>
      <c r="V362" s="61">
        <f t="shared" si="382"/>
        <v>45833</v>
      </c>
      <c r="W362" s="124">
        <f t="shared" si="397"/>
        <v>4</v>
      </c>
      <c r="AD362" s="61">
        <f t="shared" si="387"/>
        <v>45833</v>
      </c>
      <c r="AE362">
        <f t="shared" si="376"/>
        <v>0</v>
      </c>
      <c r="AF362">
        <f t="shared" si="377"/>
        <v>0</v>
      </c>
      <c r="AG362">
        <f t="shared" si="378"/>
        <v>0</v>
      </c>
      <c r="AH362">
        <f t="shared" si="379"/>
        <v>0</v>
      </c>
      <c r="AI362">
        <f t="shared" si="380"/>
        <v>0</v>
      </c>
      <c r="AJ362"/>
    </row>
    <row r="363" spans="15:36" x14ac:dyDescent="0.25">
      <c r="O363" s="61">
        <f t="shared" si="385"/>
        <v>45834</v>
      </c>
      <c r="P363" s="124">
        <f t="shared" si="381"/>
        <v>5</v>
      </c>
      <c r="Q363" s="180" t="s">
        <v>155</v>
      </c>
      <c r="R363" s="180" t="s">
        <v>155</v>
      </c>
      <c r="S363" s="180" t="s">
        <v>155</v>
      </c>
      <c r="T363" s="180" t="s">
        <v>155</v>
      </c>
      <c r="U363" s="180" t="s">
        <v>155</v>
      </c>
      <c r="V363" s="61">
        <f t="shared" si="382"/>
        <v>45834</v>
      </c>
      <c r="W363" s="124">
        <f t="shared" si="397"/>
        <v>5</v>
      </c>
      <c r="AD363" s="61">
        <f t="shared" si="387"/>
        <v>45834</v>
      </c>
      <c r="AE363">
        <f t="shared" si="376"/>
        <v>0</v>
      </c>
      <c r="AF363">
        <f t="shared" si="377"/>
        <v>0</v>
      </c>
      <c r="AG363">
        <f t="shared" si="378"/>
        <v>0</v>
      </c>
      <c r="AH363">
        <f t="shared" si="379"/>
        <v>0</v>
      </c>
      <c r="AI363">
        <f t="shared" si="380"/>
        <v>0</v>
      </c>
      <c r="AJ363"/>
    </row>
    <row r="364" spans="15:36" x14ac:dyDescent="0.25">
      <c r="O364" s="61">
        <f t="shared" si="385"/>
        <v>45835</v>
      </c>
      <c r="P364" s="124">
        <f t="shared" si="381"/>
        <v>6</v>
      </c>
      <c r="Q364" s="180" t="s">
        <v>155</v>
      </c>
      <c r="R364" s="180" t="s">
        <v>155</v>
      </c>
      <c r="S364" s="180" t="s">
        <v>155</v>
      </c>
      <c r="T364" s="180" t="s">
        <v>155</v>
      </c>
      <c r="U364" s="180" t="s">
        <v>155</v>
      </c>
      <c r="V364" s="61">
        <f t="shared" si="382"/>
        <v>45835</v>
      </c>
      <c r="W364" s="124">
        <f t="shared" si="397"/>
        <v>6</v>
      </c>
      <c r="AD364" s="61">
        <f t="shared" si="387"/>
        <v>45835</v>
      </c>
      <c r="AE364">
        <f t="shared" si="376"/>
        <v>0</v>
      </c>
      <c r="AF364">
        <f t="shared" si="377"/>
        <v>0</v>
      </c>
      <c r="AG364">
        <f t="shared" si="378"/>
        <v>0</v>
      </c>
      <c r="AH364">
        <f t="shared" si="379"/>
        <v>0</v>
      </c>
      <c r="AI364">
        <f t="shared" si="380"/>
        <v>0</v>
      </c>
      <c r="AJ364"/>
    </row>
    <row r="365" spans="15:36" x14ac:dyDescent="0.25">
      <c r="O365" s="61">
        <f t="shared" si="385"/>
        <v>45836</v>
      </c>
      <c r="P365" s="124">
        <f t="shared" si="381"/>
        <v>7</v>
      </c>
      <c r="Q365" s="180" t="s">
        <v>155</v>
      </c>
      <c r="R365" s="180" t="s">
        <v>155</v>
      </c>
      <c r="S365" s="180" t="s">
        <v>155</v>
      </c>
      <c r="T365" s="180" t="s">
        <v>155</v>
      </c>
      <c r="U365" s="180" t="s">
        <v>155</v>
      </c>
      <c r="V365" s="61">
        <f t="shared" si="382"/>
        <v>45836</v>
      </c>
      <c r="W365" s="124">
        <f t="shared" si="397"/>
        <v>7</v>
      </c>
      <c r="AD365" s="61">
        <f t="shared" si="387"/>
        <v>45836</v>
      </c>
      <c r="AE365">
        <f t="shared" si="376"/>
        <v>0</v>
      </c>
      <c r="AF365">
        <f t="shared" si="377"/>
        <v>0</v>
      </c>
      <c r="AG365">
        <f t="shared" si="378"/>
        <v>0</v>
      </c>
      <c r="AH365">
        <f t="shared" si="379"/>
        <v>0</v>
      </c>
      <c r="AI365">
        <f t="shared" si="380"/>
        <v>0</v>
      </c>
      <c r="AJ365"/>
    </row>
    <row r="366" spans="15:36" x14ac:dyDescent="0.25">
      <c r="O366" s="61">
        <f t="shared" si="385"/>
        <v>45837</v>
      </c>
      <c r="P366" s="124">
        <f t="shared" si="381"/>
        <v>1</v>
      </c>
      <c r="Q366" s="180" t="s">
        <v>155</v>
      </c>
      <c r="R366" s="180" t="s">
        <v>155</v>
      </c>
      <c r="S366" s="180" t="s">
        <v>155</v>
      </c>
      <c r="T366" s="180" t="s">
        <v>155</v>
      </c>
      <c r="U366" s="180" t="s">
        <v>155</v>
      </c>
      <c r="V366" s="61">
        <f t="shared" si="382"/>
        <v>45837</v>
      </c>
      <c r="W366" s="124">
        <f t="shared" si="397"/>
        <v>1</v>
      </c>
      <c r="AD366" s="61">
        <f t="shared" si="387"/>
        <v>45837</v>
      </c>
      <c r="AE366">
        <f t="shared" si="376"/>
        <v>0</v>
      </c>
      <c r="AF366">
        <f t="shared" si="377"/>
        <v>0</v>
      </c>
      <c r="AG366">
        <f t="shared" si="378"/>
        <v>0</v>
      </c>
      <c r="AH366">
        <f t="shared" si="379"/>
        <v>0</v>
      </c>
      <c r="AI366">
        <f t="shared" si="380"/>
        <v>0</v>
      </c>
      <c r="AJ366"/>
    </row>
    <row r="367" spans="15:36" x14ac:dyDescent="0.25">
      <c r="O367" s="61">
        <f t="shared" si="385"/>
        <v>45838</v>
      </c>
      <c r="P367" s="124">
        <f t="shared" si="381"/>
        <v>2</v>
      </c>
      <c r="Q367" s="180" t="s">
        <v>155</v>
      </c>
      <c r="R367" s="180" t="s">
        <v>155</v>
      </c>
      <c r="S367" s="180" t="s">
        <v>155</v>
      </c>
      <c r="T367" s="180" t="s">
        <v>155</v>
      </c>
      <c r="U367" s="180" t="s">
        <v>155</v>
      </c>
      <c r="V367" s="61">
        <f t="shared" si="382"/>
        <v>45838</v>
      </c>
      <c r="W367" s="124">
        <f t="shared" si="397"/>
        <v>2</v>
      </c>
      <c r="AD367" s="61">
        <f t="shared" si="387"/>
        <v>45838</v>
      </c>
      <c r="AE367">
        <f t="shared" si="376"/>
        <v>0</v>
      </c>
      <c r="AF367">
        <f t="shared" si="377"/>
        <v>0</v>
      </c>
      <c r="AG367">
        <f t="shared" si="378"/>
        <v>0</v>
      </c>
      <c r="AH367">
        <f t="shared" si="379"/>
        <v>0</v>
      </c>
      <c r="AI367">
        <f t="shared" si="380"/>
        <v>0</v>
      </c>
      <c r="AJ367"/>
    </row>
    <row r="368" spans="15:36" x14ac:dyDescent="0.25">
      <c r="O368" s="61">
        <f t="shared" si="385"/>
        <v>45839</v>
      </c>
      <c r="P368" s="124">
        <f t="shared" si="381"/>
        <v>3</v>
      </c>
      <c r="Q368" s="180" t="s">
        <v>155</v>
      </c>
      <c r="R368" s="180" t="s">
        <v>155</v>
      </c>
      <c r="S368" s="180" t="s">
        <v>155</v>
      </c>
      <c r="T368" s="180" t="s">
        <v>155</v>
      </c>
      <c r="U368" s="180" t="s">
        <v>155</v>
      </c>
      <c r="V368" s="61">
        <f t="shared" si="382"/>
        <v>45839</v>
      </c>
      <c r="W368" s="124">
        <f t="shared" si="397"/>
        <v>3</v>
      </c>
      <c r="AD368" s="61">
        <f t="shared" si="387"/>
        <v>45839</v>
      </c>
      <c r="AE368">
        <f t="shared" si="376"/>
        <v>0</v>
      </c>
      <c r="AF368">
        <f t="shared" si="377"/>
        <v>0</v>
      </c>
      <c r="AG368">
        <f t="shared" si="378"/>
        <v>0</v>
      </c>
      <c r="AH368">
        <f t="shared" si="379"/>
        <v>0</v>
      </c>
      <c r="AI368">
        <f t="shared" si="380"/>
        <v>0</v>
      </c>
      <c r="AJ368"/>
    </row>
    <row r="369" spans="15:36" x14ac:dyDescent="0.25">
      <c r="O369" s="61">
        <f t="shared" si="385"/>
        <v>45840</v>
      </c>
      <c r="P369" s="124">
        <f t="shared" si="381"/>
        <v>4</v>
      </c>
      <c r="Q369" s="180" t="s">
        <v>155</v>
      </c>
      <c r="R369" s="180" t="s">
        <v>155</v>
      </c>
      <c r="S369" s="180" t="s">
        <v>155</v>
      </c>
      <c r="T369" s="180" t="s">
        <v>155</v>
      </c>
      <c r="U369" s="180" t="s">
        <v>155</v>
      </c>
      <c r="V369" s="61">
        <f t="shared" si="382"/>
        <v>45840</v>
      </c>
      <c r="W369" s="124">
        <f t="shared" si="397"/>
        <v>4</v>
      </c>
      <c r="AD369" s="61">
        <f t="shared" si="387"/>
        <v>45840</v>
      </c>
      <c r="AE369">
        <f t="shared" si="376"/>
        <v>0</v>
      </c>
      <c r="AF369">
        <f t="shared" si="377"/>
        <v>0</v>
      </c>
      <c r="AG369">
        <f t="shared" si="378"/>
        <v>0</v>
      </c>
      <c r="AH369">
        <f t="shared" si="379"/>
        <v>0</v>
      </c>
      <c r="AI369">
        <f t="shared" si="380"/>
        <v>0</v>
      </c>
      <c r="AJ369"/>
    </row>
    <row r="370" spans="15:36" x14ac:dyDescent="0.25">
      <c r="O370" s="61">
        <f t="shared" si="385"/>
        <v>45841</v>
      </c>
      <c r="P370" s="124">
        <f t="shared" si="381"/>
        <v>5</v>
      </c>
      <c r="Q370" s="180" t="s">
        <v>155</v>
      </c>
      <c r="R370" s="180" t="s">
        <v>155</v>
      </c>
      <c r="S370" s="180" t="s">
        <v>155</v>
      </c>
      <c r="T370" s="180" t="s">
        <v>155</v>
      </c>
      <c r="U370" s="180" t="s">
        <v>155</v>
      </c>
      <c r="V370" s="61">
        <f t="shared" si="382"/>
        <v>45841</v>
      </c>
      <c r="W370" s="124">
        <f t="shared" si="397"/>
        <v>5</v>
      </c>
      <c r="AD370" s="61">
        <f t="shared" si="387"/>
        <v>45841</v>
      </c>
      <c r="AE370">
        <f t="shared" si="376"/>
        <v>0</v>
      </c>
      <c r="AF370">
        <f t="shared" si="377"/>
        <v>0</v>
      </c>
      <c r="AG370">
        <f t="shared" si="378"/>
        <v>0</v>
      </c>
      <c r="AH370">
        <f t="shared" si="379"/>
        <v>0</v>
      </c>
      <c r="AI370">
        <f t="shared" si="380"/>
        <v>0</v>
      </c>
      <c r="AJ370"/>
    </row>
    <row r="371" spans="15:36" x14ac:dyDescent="0.25">
      <c r="O371" s="61">
        <f t="shared" si="385"/>
        <v>45842</v>
      </c>
      <c r="P371" s="124">
        <f t="shared" si="381"/>
        <v>6</v>
      </c>
      <c r="Q371" s="180" t="s">
        <v>155</v>
      </c>
      <c r="R371" s="180" t="s">
        <v>155</v>
      </c>
      <c r="S371" s="180" t="s">
        <v>155</v>
      </c>
      <c r="T371" s="180" t="s">
        <v>155</v>
      </c>
      <c r="U371" s="180" t="s">
        <v>155</v>
      </c>
      <c r="V371" s="61">
        <f t="shared" si="382"/>
        <v>45842</v>
      </c>
      <c r="W371" s="124">
        <f t="shared" si="397"/>
        <v>6</v>
      </c>
      <c r="AD371" s="61">
        <f t="shared" si="387"/>
        <v>45842</v>
      </c>
      <c r="AE371">
        <f t="shared" si="376"/>
        <v>0</v>
      </c>
      <c r="AF371">
        <f t="shared" si="377"/>
        <v>0</v>
      </c>
      <c r="AG371">
        <f t="shared" si="378"/>
        <v>0</v>
      </c>
      <c r="AH371">
        <f t="shared" si="379"/>
        <v>0</v>
      </c>
      <c r="AI371">
        <f t="shared" si="380"/>
        <v>0</v>
      </c>
      <c r="AJ371"/>
    </row>
    <row r="372" spans="15:36" x14ac:dyDescent="0.25">
      <c r="O372" s="61">
        <f t="shared" si="385"/>
        <v>45843</v>
      </c>
      <c r="P372" s="124">
        <f t="shared" si="381"/>
        <v>7</v>
      </c>
      <c r="Q372" s="180" t="s">
        <v>155</v>
      </c>
      <c r="R372" s="180" t="s">
        <v>155</v>
      </c>
      <c r="S372" s="180" t="s">
        <v>155</v>
      </c>
      <c r="T372" s="180" t="s">
        <v>155</v>
      </c>
      <c r="U372" s="180" t="s">
        <v>155</v>
      </c>
      <c r="V372" s="61">
        <f t="shared" si="382"/>
        <v>45843</v>
      </c>
      <c r="W372" s="124">
        <f t="shared" si="397"/>
        <v>7</v>
      </c>
      <c r="AD372" s="61">
        <f t="shared" si="387"/>
        <v>45843</v>
      </c>
      <c r="AE372">
        <f t="shared" si="376"/>
        <v>0</v>
      </c>
      <c r="AF372">
        <f t="shared" si="377"/>
        <v>0</v>
      </c>
      <c r="AG372">
        <f t="shared" si="378"/>
        <v>0</v>
      </c>
      <c r="AH372">
        <f t="shared" si="379"/>
        <v>0</v>
      </c>
      <c r="AI372">
        <f t="shared" si="380"/>
        <v>0</v>
      </c>
      <c r="AJ372"/>
    </row>
    <row r="373" spans="15:36" x14ac:dyDescent="0.25">
      <c r="O373" s="61">
        <f t="shared" si="385"/>
        <v>45844</v>
      </c>
      <c r="P373" s="124">
        <f t="shared" si="381"/>
        <v>1</v>
      </c>
      <c r="Q373" s="180" t="s">
        <v>155</v>
      </c>
      <c r="R373" s="180" t="s">
        <v>155</v>
      </c>
      <c r="S373" s="180" t="s">
        <v>155</v>
      </c>
      <c r="T373" s="180" t="s">
        <v>155</v>
      </c>
      <c r="U373" s="180" t="s">
        <v>155</v>
      </c>
      <c r="V373" s="61">
        <f t="shared" si="382"/>
        <v>45844</v>
      </c>
      <c r="W373" s="124">
        <f t="shared" si="397"/>
        <v>1</v>
      </c>
      <c r="AD373" s="61">
        <f t="shared" si="387"/>
        <v>45844</v>
      </c>
      <c r="AE373">
        <f t="shared" si="376"/>
        <v>0</v>
      </c>
      <c r="AF373">
        <f t="shared" si="377"/>
        <v>0</v>
      </c>
      <c r="AG373">
        <f t="shared" si="378"/>
        <v>0</v>
      </c>
      <c r="AH373">
        <f t="shared" si="379"/>
        <v>0</v>
      </c>
      <c r="AI373">
        <f t="shared" si="380"/>
        <v>0</v>
      </c>
      <c r="AJ373"/>
    </row>
    <row r="374" spans="15:36" x14ac:dyDescent="0.25">
      <c r="O374" s="61">
        <f t="shared" si="385"/>
        <v>45845</v>
      </c>
      <c r="P374" s="124">
        <f t="shared" si="381"/>
        <v>2</v>
      </c>
      <c r="Q374" s="180" t="s">
        <v>155</v>
      </c>
      <c r="R374" s="180" t="s">
        <v>155</v>
      </c>
      <c r="S374" s="180" t="s">
        <v>155</v>
      </c>
      <c r="T374" s="180" t="s">
        <v>155</v>
      </c>
      <c r="U374" s="180" t="s">
        <v>155</v>
      </c>
      <c r="V374" s="61">
        <f t="shared" si="382"/>
        <v>45845</v>
      </c>
      <c r="W374" s="124">
        <f t="shared" si="397"/>
        <v>2</v>
      </c>
      <c r="AD374" s="61">
        <f t="shared" si="387"/>
        <v>45845</v>
      </c>
      <c r="AE374">
        <f t="shared" si="376"/>
        <v>0</v>
      </c>
      <c r="AF374">
        <f t="shared" si="377"/>
        <v>0</v>
      </c>
      <c r="AG374">
        <f t="shared" si="378"/>
        <v>0</v>
      </c>
      <c r="AH374">
        <f t="shared" si="379"/>
        <v>0</v>
      </c>
      <c r="AI374">
        <f t="shared" si="380"/>
        <v>0</v>
      </c>
      <c r="AJ374"/>
    </row>
    <row r="375" spans="15:36" x14ac:dyDescent="0.25">
      <c r="O375" s="61">
        <f t="shared" si="385"/>
        <v>45846</v>
      </c>
      <c r="P375" s="124">
        <f t="shared" si="381"/>
        <v>3</v>
      </c>
      <c r="Q375" s="180" t="s">
        <v>155</v>
      </c>
      <c r="R375" s="180" t="s">
        <v>155</v>
      </c>
      <c r="S375" s="180" t="s">
        <v>155</v>
      </c>
      <c r="T375" s="180" t="s">
        <v>155</v>
      </c>
      <c r="U375" s="180" t="s">
        <v>155</v>
      </c>
      <c r="V375" s="61">
        <f t="shared" si="382"/>
        <v>45846</v>
      </c>
      <c r="W375" s="124">
        <f t="shared" si="397"/>
        <v>3</v>
      </c>
      <c r="AD375" s="61">
        <f t="shared" si="387"/>
        <v>45846</v>
      </c>
      <c r="AE375">
        <f t="shared" si="376"/>
        <v>0</v>
      </c>
      <c r="AF375">
        <f t="shared" si="377"/>
        <v>0</v>
      </c>
      <c r="AG375">
        <f t="shared" si="378"/>
        <v>0</v>
      </c>
      <c r="AH375">
        <f t="shared" si="379"/>
        <v>0</v>
      </c>
      <c r="AI375">
        <f t="shared" si="380"/>
        <v>0</v>
      </c>
      <c r="AJ375"/>
    </row>
    <row r="376" spans="15:36" x14ac:dyDescent="0.25">
      <c r="O376" s="61">
        <f t="shared" si="385"/>
        <v>45847</v>
      </c>
      <c r="P376" s="124">
        <f t="shared" si="381"/>
        <v>4</v>
      </c>
      <c r="Q376" s="180" t="s">
        <v>155</v>
      </c>
      <c r="R376" s="180" t="s">
        <v>155</v>
      </c>
      <c r="S376" s="180" t="s">
        <v>155</v>
      </c>
      <c r="T376" s="180" t="s">
        <v>155</v>
      </c>
      <c r="U376" s="180" t="s">
        <v>155</v>
      </c>
      <c r="V376" s="61">
        <f t="shared" si="382"/>
        <v>45847</v>
      </c>
      <c r="W376" s="124">
        <f t="shared" si="397"/>
        <v>4</v>
      </c>
      <c r="AD376" s="61">
        <f t="shared" si="387"/>
        <v>45847</v>
      </c>
      <c r="AE376">
        <f t="shared" si="376"/>
        <v>0</v>
      </c>
      <c r="AF376">
        <f t="shared" si="377"/>
        <v>0</v>
      </c>
      <c r="AG376">
        <f t="shared" si="378"/>
        <v>0</v>
      </c>
      <c r="AH376">
        <f t="shared" si="379"/>
        <v>0</v>
      </c>
      <c r="AI376">
        <f t="shared" si="380"/>
        <v>0</v>
      </c>
      <c r="AJ376"/>
    </row>
    <row r="377" spans="15:36" x14ac:dyDescent="0.25">
      <c r="O377" s="61">
        <f t="shared" si="385"/>
        <v>45848</v>
      </c>
      <c r="P377" s="124">
        <f t="shared" si="381"/>
        <v>5</v>
      </c>
      <c r="Q377" s="180" t="s">
        <v>155</v>
      </c>
      <c r="R377" s="180" t="s">
        <v>155</v>
      </c>
      <c r="S377" s="180" t="s">
        <v>155</v>
      </c>
      <c r="T377" s="180" t="s">
        <v>155</v>
      </c>
      <c r="U377" s="180" t="s">
        <v>155</v>
      </c>
      <c r="V377" s="61">
        <f t="shared" si="382"/>
        <v>45848</v>
      </c>
      <c r="W377" s="124">
        <f t="shared" si="397"/>
        <v>5</v>
      </c>
      <c r="AD377" s="61">
        <f t="shared" si="387"/>
        <v>45848</v>
      </c>
      <c r="AE377">
        <f t="shared" si="376"/>
        <v>0</v>
      </c>
      <c r="AF377">
        <f t="shared" si="377"/>
        <v>0</v>
      </c>
      <c r="AG377">
        <f t="shared" si="378"/>
        <v>0</v>
      </c>
      <c r="AH377">
        <f t="shared" si="379"/>
        <v>0</v>
      </c>
      <c r="AI377">
        <f t="shared" si="380"/>
        <v>0</v>
      </c>
      <c r="AJ377"/>
    </row>
    <row r="378" spans="15:36" x14ac:dyDescent="0.25">
      <c r="O378" s="61">
        <f t="shared" si="385"/>
        <v>45849</v>
      </c>
      <c r="P378" s="124">
        <f t="shared" si="381"/>
        <v>6</v>
      </c>
      <c r="Q378" s="180" t="s">
        <v>155</v>
      </c>
      <c r="R378" s="180" t="s">
        <v>155</v>
      </c>
      <c r="S378" s="180" t="s">
        <v>155</v>
      </c>
      <c r="T378" s="180" t="s">
        <v>155</v>
      </c>
      <c r="U378" s="180" t="s">
        <v>155</v>
      </c>
      <c r="V378" s="61">
        <f t="shared" si="382"/>
        <v>45849</v>
      </c>
      <c r="W378" s="124">
        <f t="shared" si="397"/>
        <v>6</v>
      </c>
      <c r="AD378" s="61">
        <f t="shared" si="387"/>
        <v>45849</v>
      </c>
      <c r="AE378">
        <f t="shared" si="376"/>
        <v>0</v>
      </c>
      <c r="AF378">
        <f t="shared" si="377"/>
        <v>0</v>
      </c>
      <c r="AG378">
        <f t="shared" si="378"/>
        <v>0</v>
      </c>
      <c r="AH378">
        <f t="shared" si="379"/>
        <v>0</v>
      </c>
      <c r="AI378">
        <f t="shared" si="380"/>
        <v>0</v>
      </c>
      <c r="AJ378"/>
    </row>
    <row r="379" spans="15:36" x14ac:dyDescent="0.25">
      <c r="O379" s="61">
        <f t="shared" si="385"/>
        <v>45850</v>
      </c>
      <c r="P379" s="124">
        <f t="shared" si="381"/>
        <v>7</v>
      </c>
      <c r="Q379" s="180" t="s">
        <v>155</v>
      </c>
      <c r="R379" s="180" t="s">
        <v>155</v>
      </c>
      <c r="S379" s="180" t="s">
        <v>155</v>
      </c>
      <c r="T379" s="180" t="s">
        <v>155</v>
      </c>
      <c r="U379" s="180" t="s">
        <v>155</v>
      </c>
      <c r="V379" s="61">
        <f t="shared" si="382"/>
        <v>45850</v>
      </c>
      <c r="W379" s="124">
        <f t="shared" si="397"/>
        <v>7</v>
      </c>
      <c r="AD379" s="61">
        <f t="shared" si="387"/>
        <v>45850</v>
      </c>
      <c r="AE379">
        <f t="shared" si="376"/>
        <v>0</v>
      </c>
      <c r="AF379">
        <f t="shared" si="377"/>
        <v>0</v>
      </c>
      <c r="AG379">
        <f t="shared" si="378"/>
        <v>0</v>
      </c>
      <c r="AH379">
        <f t="shared" si="379"/>
        <v>0</v>
      </c>
      <c r="AI379">
        <f t="shared" si="380"/>
        <v>0</v>
      </c>
      <c r="AJ379"/>
    </row>
    <row r="380" spans="15:36" x14ac:dyDescent="0.25">
      <c r="O380" s="61">
        <f t="shared" si="385"/>
        <v>45851</v>
      </c>
      <c r="P380" s="124">
        <f t="shared" si="381"/>
        <v>1</v>
      </c>
      <c r="Q380" s="180" t="s">
        <v>155</v>
      </c>
      <c r="R380" s="180" t="s">
        <v>155</v>
      </c>
      <c r="S380" s="180" t="s">
        <v>155</v>
      </c>
      <c r="T380" s="180" t="s">
        <v>155</v>
      </c>
      <c r="U380" s="180" t="s">
        <v>155</v>
      </c>
      <c r="V380" s="61">
        <f t="shared" si="382"/>
        <v>45851</v>
      </c>
      <c r="W380" s="124">
        <f t="shared" si="397"/>
        <v>1</v>
      </c>
      <c r="AD380" s="61">
        <f t="shared" si="387"/>
        <v>45851</v>
      </c>
      <c r="AE380">
        <f t="shared" si="376"/>
        <v>0</v>
      </c>
      <c r="AF380">
        <f t="shared" si="377"/>
        <v>0</v>
      </c>
      <c r="AG380">
        <f t="shared" si="378"/>
        <v>0</v>
      </c>
      <c r="AH380">
        <f t="shared" si="379"/>
        <v>0</v>
      </c>
      <c r="AI380">
        <f t="shared" si="380"/>
        <v>0</v>
      </c>
      <c r="AJ380"/>
    </row>
    <row r="381" spans="15:36" x14ac:dyDescent="0.25">
      <c r="O381" s="61">
        <f t="shared" si="385"/>
        <v>45852</v>
      </c>
      <c r="P381" s="124">
        <f t="shared" si="381"/>
        <v>2</v>
      </c>
      <c r="Q381" s="180" t="s">
        <v>155</v>
      </c>
      <c r="R381" s="180" t="s">
        <v>155</v>
      </c>
      <c r="S381" s="180" t="s">
        <v>155</v>
      </c>
      <c r="T381" s="180" t="s">
        <v>155</v>
      </c>
      <c r="U381" s="180" t="s">
        <v>155</v>
      </c>
      <c r="V381" s="61">
        <f t="shared" si="382"/>
        <v>45852</v>
      </c>
      <c r="W381" s="124">
        <f t="shared" si="397"/>
        <v>2</v>
      </c>
      <c r="AD381" s="61">
        <f t="shared" si="387"/>
        <v>45852</v>
      </c>
      <c r="AE381">
        <f t="shared" si="376"/>
        <v>0</v>
      </c>
      <c r="AF381">
        <f t="shared" si="377"/>
        <v>0</v>
      </c>
      <c r="AG381">
        <f t="shared" si="378"/>
        <v>0</v>
      </c>
      <c r="AH381">
        <f t="shared" si="379"/>
        <v>0</v>
      </c>
      <c r="AI381">
        <f t="shared" si="380"/>
        <v>0</v>
      </c>
      <c r="AJ381"/>
    </row>
    <row r="382" spans="15:36" x14ac:dyDescent="0.25">
      <c r="O382" s="61">
        <f t="shared" si="385"/>
        <v>45853</v>
      </c>
      <c r="P382" s="124">
        <f t="shared" si="381"/>
        <v>3</v>
      </c>
      <c r="Q382" s="180" t="s">
        <v>155</v>
      </c>
      <c r="R382" s="180" t="s">
        <v>155</v>
      </c>
      <c r="S382" s="180" t="s">
        <v>155</v>
      </c>
      <c r="T382" s="180" t="s">
        <v>155</v>
      </c>
      <c r="U382" s="180" t="s">
        <v>155</v>
      </c>
      <c r="V382" s="61">
        <f t="shared" si="382"/>
        <v>45853</v>
      </c>
      <c r="W382" s="124">
        <f t="shared" si="397"/>
        <v>3</v>
      </c>
      <c r="AD382" s="61">
        <f t="shared" si="387"/>
        <v>45853</v>
      </c>
      <c r="AE382">
        <f t="shared" si="376"/>
        <v>0</v>
      </c>
      <c r="AF382">
        <f t="shared" si="377"/>
        <v>0</v>
      </c>
      <c r="AG382">
        <f t="shared" si="378"/>
        <v>0</v>
      </c>
      <c r="AH382">
        <f t="shared" si="379"/>
        <v>0</v>
      </c>
      <c r="AI382">
        <f t="shared" si="380"/>
        <v>0</v>
      </c>
      <c r="AJ382"/>
    </row>
    <row r="383" spans="15:36" x14ac:dyDescent="0.25">
      <c r="O383" s="61">
        <f t="shared" si="385"/>
        <v>45854</v>
      </c>
      <c r="P383" s="124">
        <f t="shared" si="381"/>
        <v>4</v>
      </c>
      <c r="Q383" s="180" t="s">
        <v>155</v>
      </c>
      <c r="R383" s="180" t="s">
        <v>155</v>
      </c>
      <c r="S383" s="180" t="s">
        <v>155</v>
      </c>
      <c r="T383" s="180" t="s">
        <v>155</v>
      </c>
      <c r="U383" s="180" t="s">
        <v>155</v>
      </c>
      <c r="V383" s="61">
        <f t="shared" si="382"/>
        <v>45854</v>
      </c>
      <c r="W383" s="124">
        <f t="shared" si="397"/>
        <v>4</v>
      </c>
      <c r="AD383" s="61">
        <f t="shared" si="387"/>
        <v>45854</v>
      </c>
      <c r="AE383">
        <f t="shared" si="376"/>
        <v>0</v>
      </c>
      <c r="AF383">
        <f t="shared" si="377"/>
        <v>0</v>
      </c>
      <c r="AG383">
        <f t="shared" si="378"/>
        <v>0</v>
      </c>
      <c r="AH383">
        <f t="shared" si="379"/>
        <v>0</v>
      </c>
      <c r="AI383">
        <f t="shared" si="380"/>
        <v>0</v>
      </c>
      <c r="AJ383"/>
    </row>
    <row r="384" spans="15:36" x14ac:dyDescent="0.25">
      <c r="O384" s="61">
        <f t="shared" si="385"/>
        <v>45855</v>
      </c>
      <c r="P384" s="124">
        <f t="shared" si="381"/>
        <v>5</v>
      </c>
      <c r="Q384" s="180" t="s">
        <v>155</v>
      </c>
      <c r="R384" s="180" t="s">
        <v>155</v>
      </c>
      <c r="S384" s="180" t="s">
        <v>155</v>
      </c>
      <c r="T384" s="180" t="s">
        <v>155</v>
      </c>
      <c r="U384" s="180" t="s">
        <v>155</v>
      </c>
      <c r="V384" s="61">
        <f t="shared" si="382"/>
        <v>45855</v>
      </c>
      <c r="W384" s="124">
        <f t="shared" si="397"/>
        <v>5</v>
      </c>
      <c r="AD384" s="61">
        <f t="shared" si="387"/>
        <v>45855</v>
      </c>
      <c r="AE384">
        <f t="shared" si="376"/>
        <v>0</v>
      </c>
      <c r="AF384">
        <f t="shared" si="377"/>
        <v>0</v>
      </c>
      <c r="AG384">
        <f t="shared" si="378"/>
        <v>0</v>
      </c>
      <c r="AH384">
        <f t="shared" si="379"/>
        <v>0</v>
      </c>
      <c r="AI384">
        <f t="shared" si="380"/>
        <v>0</v>
      </c>
      <c r="AJ384"/>
    </row>
    <row r="385" spans="15:36" x14ac:dyDescent="0.25">
      <c r="O385" s="61">
        <f t="shared" si="385"/>
        <v>45856</v>
      </c>
      <c r="P385" s="124">
        <f t="shared" si="381"/>
        <v>6</v>
      </c>
      <c r="Q385" s="180" t="s">
        <v>155</v>
      </c>
      <c r="R385" s="180" t="s">
        <v>155</v>
      </c>
      <c r="S385" s="180" t="s">
        <v>155</v>
      </c>
      <c r="T385" s="180" t="s">
        <v>155</v>
      </c>
      <c r="U385" s="180" t="s">
        <v>155</v>
      </c>
      <c r="V385" s="61">
        <f t="shared" si="382"/>
        <v>45856</v>
      </c>
      <c r="W385" s="124">
        <f t="shared" si="397"/>
        <v>6</v>
      </c>
      <c r="AD385" s="61">
        <f t="shared" si="387"/>
        <v>45856</v>
      </c>
      <c r="AE385">
        <f t="shared" si="376"/>
        <v>0</v>
      </c>
      <c r="AF385">
        <f t="shared" si="377"/>
        <v>0</v>
      </c>
      <c r="AG385">
        <f t="shared" si="378"/>
        <v>0</v>
      </c>
      <c r="AH385">
        <f t="shared" si="379"/>
        <v>0</v>
      </c>
      <c r="AI385">
        <f t="shared" si="380"/>
        <v>0</v>
      </c>
      <c r="AJ385"/>
    </row>
    <row r="386" spans="15:36" x14ac:dyDescent="0.25">
      <c r="O386" s="61">
        <f t="shared" si="385"/>
        <v>45857</v>
      </c>
      <c r="P386" s="124">
        <f t="shared" si="381"/>
        <v>7</v>
      </c>
      <c r="Q386" s="180" t="s">
        <v>155</v>
      </c>
      <c r="R386" s="180" t="s">
        <v>155</v>
      </c>
      <c r="S386" s="180" t="s">
        <v>155</v>
      </c>
      <c r="T386" s="180" t="s">
        <v>155</v>
      </c>
      <c r="U386" s="180" t="s">
        <v>155</v>
      </c>
      <c r="V386" s="61">
        <f t="shared" si="382"/>
        <v>45857</v>
      </c>
      <c r="W386" s="124">
        <f t="shared" si="397"/>
        <v>7</v>
      </c>
      <c r="AD386" s="61">
        <f t="shared" si="387"/>
        <v>45857</v>
      </c>
      <c r="AE386">
        <f t="shared" si="376"/>
        <v>0</v>
      </c>
      <c r="AF386">
        <f t="shared" si="377"/>
        <v>0</v>
      </c>
      <c r="AG386">
        <f t="shared" si="378"/>
        <v>0</v>
      </c>
      <c r="AH386">
        <f t="shared" si="379"/>
        <v>0</v>
      </c>
      <c r="AI386">
        <f t="shared" si="380"/>
        <v>0</v>
      </c>
      <c r="AJ386"/>
    </row>
    <row r="387" spans="15:36" x14ac:dyDescent="0.25">
      <c r="O387" s="61">
        <f t="shared" si="385"/>
        <v>45858</v>
      </c>
      <c r="P387" s="124">
        <f t="shared" si="381"/>
        <v>1</v>
      </c>
      <c r="Q387" s="180" t="s">
        <v>155</v>
      </c>
      <c r="R387" s="180" t="s">
        <v>155</v>
      </c>
      <c r="S387" s="180" t="s">
        <v>155</v>
      </c>
      <c r="T387" s="180" t="s">
        <v>155</v>
      </c>
      <c r="U387" s="180" t="s">
        <v>155</v>
      </c>
      <c r="V387" s="61">
        <f t="shared" si="382"/>
        <v>45858</v>
      </c>
      <c r="W387" s="124">
        <f t="shared" si="397"/>
        <v>1</v>
      </c>
      <c r="AD387" s="61">
        <f t="shared" si="387"/>
        <v>45858</v>
      </c>
      <c r="AE387">
        <f t="shared" ref="AE387:AE398" si="398">AE386-(IF(Q387=1,1,0))</f>
        <v>0</v>
      </c>
      <c r="AF387">
        <f t="shared" ref="AF387:AF398" si="399">AF386-(IF(R387=1,1,0))</f>
        <v>0</v>
      </c>
      <c r="AG387">
        <f t="shared" ref="AG387:AG398" si="400">AG386-(IF(S387=1,1,0))</f>
        <v>0</v>
      </c>
      <c r="AH387">
        <f t="shared" ref="AH387:AH398" si="401">AH386-(IF(T387=1,1,0))</f>
        <v>0</v>
      </c>
      <c r="AI387">
        <f t="shared" ref="AI387:AI398" si="402">AI386-(IF(U387=1,1,0))</f>
        <v>0</v>
      </c>
      <c r="AJ387"/>
    </row>
    <row r="388" spans="15:36" x14ac:dyDescent="0.25">
      <c r="O388" s="61">
        <f t="shared" si="385"/>
        <v>45859</v>
      </c>
      <c r="P388" s="124">
        <f t="shared" ref="P388:P399" si="403">WEEKDAY(O388)</f>
        <v>2</v>
      </c>
      <c r="Q388" s="180" t="s">
        <v>155</v>
      </c>
      <c r="R388" s="180" t="s">
        <v>155</v>
      </c>
      <c r="S388" s="180" t="s">
        <v>155</v>
      </c>
      <c r="T388" s="180" t="s">
        <v>155</v>
      </c>
      <c r="U388" s="180" t="s">
        <v>155</v>
      </c>
      <c r="V388" s="61">
        <f t="shared" ref="V388:V399" si="404">V387+1</f>
        <v>45859</v>
      </c>
      <c r="W388" s="124">
        <f t="shared" si="397"/>
        <v>2</v>
      </c>
      <c r="AD388" s="61">
        <f t="shared" si="387"/>
        <v>45859</v>
      </c>
      <c r="AE388">
        <f t="shared" si="398"/>
        <v>0</v>
      </c>
      <c r="AF388">
        <f t="shared" si="399"/>
        <v>0</v>
      </c>
      <c r="AG388">
        <f t="shared" si="400"/>
        <v>0</v>
      </c>
      <c r="AH388">
        <f t="shared" si="401"/>
        <v>0</v>
      </c>
      <c r="AI388">
        <f t="shared" si="402"/>
        <v>0</v>
      </c>
      <c r="AJ388"/>
    </row>
    <row r="389" spans="15:36" x14ac:dyDescent="0.25">
      <c r="O389" s="61">
        <f t="shared" si="385"/>
        <v>45860</v>
      </c>
      <c r="P389" s="124">
        <f t="shared" si="403"/>
        <v>3</v>
      </c>
      <c r="Q389" s="180" t="s">
        <v>155</v>
      </c>
      <c r="R389" s="180" t="s">
        <v>155</v>
      </c>
      <c r="S389" s="180" t="s">
        <v>155</v>
      </c>
      <c r="T389" s="180" t="s">
        <v>155</v>
      </c>
      <c r="U389" s="180" t="s">
        <v>155</v>
      </c>
      <c r="V389" s="61">
        <f t="shared" si="404"/>
        <v>45860</v>
      </c>
      <c r="W389" s="124">
        <f t="shared" si="397"/>
        <v>3</v>
      </c>
      <c r="AD389" s="61">
        <f t="shared" si="387"/>
        <v>45860</v>
      </c>
      <c r="AE389">
        <f t="shared" si="398"/>
        <v>0</v>
      </c>
      <c r="AF389">
        <f t="shared" si="399"/>
        <v>0</v>
      </c>
      <c r="AG389">
        <f t="shared" si="400"/>
        <v>0</v>
      </c>
      <c r="AH389">
        <f t="shared" si="401"/>
        <v>0</v>
      </c>
      <c r="AI389">
        <f t="shared" si="402"/>
        <v>0</v>
      </c>
      <c r="AJ389"/>
    </row>
    <row r="390" spans="15:36" x14ac:dyDescent="0.25">
      <c r="O390" s="61">
        <f t="shared" ref="O390:O398" si="405">O389+1</f>
        <v>45861</v>
      </c>
      <c r="P390" s="124">
        <f t="shared" si="403"/>
        <v>4</v>
      </c>
      <c r="Q390" s="180" t="s">
        <v>155</v>
      </c>
      <c r="R390" s="180" t="s">
        <v>155</v>
      </c>
      <c r="S390" s="180" t="s">
        <v>155</v>
      </c>
      <c r="T390" s="180" t="s">
        <v>155</v>
      </c>
      <c r="U390" s="180" t="s">
        <v>155</v>
      </c>
      <c r="V390" s="61">
        <f t="shared" si="404"/>
        <v>45861</v>
      </c>
      <c r="W390" s="124">
        <f t="shared" si="397"/>
        <v>4</v>
      </c>
      <c r="AD390" s="61">
        <f t="shared" ref="AD390:AD398" si="406">AD389+1</f>
        <v>45861</v>
      </c>
      <c r="AE390">
        <f t="shared" si="398"/>
        <v>0</v>
      </c>
      <c r="AF390">
        <f t="shared" si="399"/>
        <v>0</v>
      </c>
      <c r="AG390">
        <f t="shared" si="400"/>
        <v>0</v>
      </c>
      <c r="AH390">
        <f t="shared" si="401"/>
        <v>0</v>
      </c>
      <c r="AI390">
        <f t="shared" si="402"/>
        <v>0</v>
      </c>
      <c r="AJ390"/>
    </row>
    <row r="391" spans="15:36" x14ac:dyDescent="0.25">
      <c r="O391" s="61">
        <f>O390+1</f>
        <v>45862</v>
      </c>
      <c r="P391" s="124">
        <f t="shared" si="403"/>
        <v>5</v>
      </c>
      <c r="Q391" s="180" t="s">
        <v>155</v>
      </c>
      <c r="R391" s="180" t="s">
        <v>155</v>
      </c>
      <c r="S391" s="180" t="s">
        <v>155</v>
      </c>
      <c r="T391" s="180" t="s">
        <v>155</v>
      </c>
      <c r="U391" s="180" t="s">
        <v>155</v>
      </c>
      <c r="V391" s="61">
        <f t="shared" si="404"/>
        <v>45862</v>
      </c>
      <c r="W391" s="124">
        <f t="shared" si="397"/>
        <v>5</v>
      </c>
      <c r="AD391" s="61">
        <f>AD390+1</f>
        <v>45862</v>
      </c>
      <c r="AE391">
        <f t="shared" si="398"/>
        <v>0</v>
      </c>
      <c r="AF391">
        <f t="shared" si="399"/>
        <v>0</v>
      </c>
      <c r="AG391">
        <f t="shared" si="400"/>
        <v>0</v>
      </c>
      <c r="AH391">
        <f t="shared" si="401"/>
        <v>0</v>
      </c>
      <c r="AI391">
        <f t="shared" si="402"/>
        <v>0</v>
      </c>
      <c r="AJ391"/>
    </row>
    <row r="392" spans="15:36" x14ac:dyDescent="0.25">
      <c r="O392" s="61">
        <f t="shared" si="405"/>
        <v>45863</v>
      </c>
      <c r="P392" s="124">
        <f t="shared" si="403"/>
        <v>6</v>
      </c>
      <c r="Q392" s="180" t="s">
        <v>155</v>
      </c>
      <c r="R392" s="180" t="s">
        <v>155</v>
      </c>
      <c r="S392" s="180" t="s">
        <v>155</v>
      </c>
      <c r="T392" s="180" t="s">
        <v>155</v>
      </c>
      <c r="U392" s="180" t="s">
        <v>155</v>
      </c>
      <c r="V392" s="61">
        <f t="shared" si="404"/>
        <v>45863</v>
      </c>
      <c r="W392" s="124">
        <f t="shared" si="397"/>
        <v>6</v>
      </c>
      <c r="AD392" s="61">
        <f t="shared" si="406"/>
        <v>45863</v>
      </c>
      <c r="AE392">
        <f t="shared" si="398"/>
        <v>0</v>
      </c>
      <c r="AF392">
        <f t="shared" si="399"/>
        <v>0</v>
      </c>
      <c r="AG392">
        <f t="shared" si="400"/>
        <v>0</v>
      </c>
      <c r="AH392">
        <f t="shared" si="401"/>
        <v>0</v>
      </c>
      <c r="AI392">
        <f t="shared" si="402"/>
        <v>0</v>
      </c>
      <c r="AJ392"/>
    </row>
    <row r="393" spans="15:36" x14ac:dyDescent="0.25">
      <c r="O393" s="61">
        <f t="shared" si="405"/>
        <v>45864</v>
      </c>
      <c r="P393" s="124">
        <f t="shared" si="403"/>
        <v>7</v>
      </c>
      <c r="Q393" s="180" t="s">
        <v>155</v>
      </c>
      <c r="R393" s="180" t="s">
        <v>155</v>
      </c>
      <c r="S393" s="180" t="s">
        <v>155</v>
      </c>
      <c r="T393" s="180" t="s">
        <v>155</v>
      </c>
      <c r="U393" s="180" t="s">
        <v>155</v>
      </c>
      <c r="V393" s="61">
        <f t="shared" si="404"/>
        <v>45864</v>
      </c>
      <c r="W393" s="124">
        <f t="shared" si="397"/>
        <v>7</v>
      </c>
      <c r="AD393" s="61">
        <f t="shared" si="406"/>
        <v>45864</v>
      </c>
      <c r="AE393">
        <f t="shared" si="398"/>
        <v>0</v>
      </c>
      <c r="AF393">
        <f t="shared" si="399"/>
        <v>0</v>
      </c>
      <c r="AG393">
        <f t="shared" si="400"/>
        <v>0</v>
      </c>
      <c r="AH393">
        <f t="shared" si="401"/>
        <v>0</v>
      </c>
      <c r="AI393">
        <f t="shared" si="402"/>
        <v>0</v>
      </c>
      <c r="AJ393"/>
    </row>
    <row r="394" spans="15:36" x14ac:dyDescent="0.25">
      <c r="O394" s="61">
        <f t="shared" si="405"/>
        <v>45865</v>
      </c>
      <c r="P394" s="124">
        <f t="shared" si="403"/>
        <v>1</v>
      </c>
      <c r="Q394" s="180" t="s">
        <v>155</v>
      </c>
      <c r="R394" s="180" t="s">
        <v>155</v>
      </c>
      <c r="S394" s="180" t="s">
        <v>155</v>
      </c>
      <c r="T394" s="180" t="s">
        <v>155</v>
      </c>
      <c r="U394" s="180" t="s">
        <v>155</v>
      </c>
      <c r="V394" s="61">
        <f t="shared" si="404"/>
        <v>45865</v>
      </c>
      <c r="W394" s="124">
        <f t="shared" si="397"/>
        <v>1</v>
      </c>
      <c r="AD394" s="61">
        <f t="shared" si="406"/>
        <v>45865</v>
      </c>
      <c r="AE394">
        <f t="shared" si="398"/>
        <v>0</v>
      </c>
      <c r="AF394">
        <f t="shared" si="399"/>
        <v>0</v>
      </c>
      <c r="AG394">
        <f t="shared" si="400"/>
        <v>0</v>
      </c>
      <c r="AH394">
        <f t="shared" si="401"/>
        <v>0</v>
      </c>
      <c r="AI394">
        <f t="shared" si="402"/>
        <v>0</v>
      </c>
      <c r="AJ394"/>
    </row>
    <row r="395" spans="15:36" x14ac:dyDescent="0.25">
      <c r="O395" s="61">
        <f>O394+1</f>
        <v>45866</v>
      </c>
      <c r="P395" s="124">
        <f t="shared" si="403"/>
        <v>2</v>
      </c>
      <c r="Q395" s="180" t="s">
        <v>155</v>
      </c>
      <c r="R395" s="180" t="s">
        <v>155</v>
      </c>
      <c r="S395" s="180" t="s">
        <v>155</v>
      </c>
      <c r="T395" s="180" t="s">
        <v>155</v>
      </c>
      <c r="U395" s="180" t="s">
        <v>155</v>
      </c>
      <c r="V395" s="61">
        <f t="shared" si="404"/>
        <v>45866</v>
      </c>
      <c r="W395" s="124">
        <f t="shared" si="397"/>
        <v>2</v>
      </c>
      <c r="AD395" s="61">
        <f>AD394+1</f>
        <v>45866</v>
      </c>
      <c r="AE395">
        <f t="shared" si="398"/>
        <v>0</v>
      </c>
      <c r="AF395">
        <f t="shared" si="399"/>
        <v>0</v>
      </c>
      <c r="AG395">
        <f t="shared" si="400"/>
        <v>0</v>
      </c>
      <c r="AH395">
        <f t="shared" si="401"/>
        <v>0</v>
      </c>
      <c r="AI395">
        <f t="shared" si="402"/>
        <v>0</v>
      </c>
      <c r="AJ395"/>
    </row>
    <row r="396" spans="15:36" x14ac:dyDescent="0.25">
      <c r="O396" s="61">
        <f t="shared" si="405"/>
        <v>45867</v>
      </c>
      <c r="P396" s="124">
        <f t="shared" si="403"/>
        <v>3</v>
      </c>
      <c r="Q396" s="180" t="s">
        <v>155</v>
      </c>
      <c r="R396" s="180" t="s">
        <v>155</v>
      </c>
      <c r="S396" s="180" t="s">
        <v>155</v>
      </c>
      <c r="T396" s="180" t="s">
        <v>155</v>
      </c>
      <c r="U396" s="180" t="s">
        <v>155</v>
      </c>
      <c r="V396" s="61">
        <f t="shared" si="404"/>
        <v>45867</v>
      </c>
      <c r="W396" s="124">
        <f t="shared" si="397"/>
        <v>3</v>
      </c>
      <c r="AD396" s="61">
        <f t="shared" si="406"/>
        <v>45867</v>
      </c>
      <c r="AE396">
        <f t="shared" si="398"/>
        <v>0</v>
      </c>
      <c r="AF396">
        <f t="shared" si="399"/>
        <v>0</v>
      </c>
      <c r="AG396">
        <f t="shared" si="400"/>
        <v>0</v>
      </c>
      <c r="AH396">
        <f t="shared" si="401"/>
        <v>0</v>
      </c>
      <c r="AI396">
        <f t="shared" si="402"/>
        <v>0</v>
      </c>
      <c r="AJ396"/>
    </row>
    <row r="397" spans="15:36" x14ac:dyDescent="0.25">
      <c r="O397" s="61">
        <f t="shared" si="405"/>
        <v>45868</v>
      </c>
      <c r="P397" s="124">
        <f t="shared" si="403"/>
        <v>4</v>
      </c>
      <c r="Q397" s="180" t="s">
        <v>155</v>
      </c>
      <c r="R397" s="180" t="s">
        <v>155</v>
      </c>
      <c r="S397" s="180" t="s">
        <v>155</v>
      </c>
      <c r="T397" s="180" t="s">
        <v>155</v>
      </c>
      <c r="U397" s="180" t="s">
        <v>155</v>
      </c>
      <c r="V397" s="61">
        <f t="shared" si="404"/>
        <v>45868</v>
      </c>
      <c r="W397" s="124">
        <f t="shared" si="397"/>
        <v>4</v>
      </c>
      <c r="AD397" s="61">
        <f t="shared" si="406"/>
        <v>45868</v>
      </c>
      <c r="AE397">
        <f t="shared" si="398"/>
        <v>0</v>
      </c>
      <c r="AF397">
        <f t="shared" si="399"/>
        <v>0</v>
      </c>
      <c r="AG397">
        <f t="shared" si="400"/>
        <v>0</v>
      </c>
      <c r="AH397">
        <f t="shared" si="401"/>
        <v>0</v>
      </c>
      <c r="AI397">
        <f t="shared" si="402"/>
        <v>0</v>
      </c>
      <c r="AJ397"/>
    </row>
    <row r="398" spans="15:36" x14ac:dyDescent="0.25">
      <c r="O398" s="61">
        <f t="shared" si="405"/>
        <v>45869</v>
      </c>
      <c r="P398" s="124">
        <f t="shared" si="403"/>
        <v>5</v>
      </c>
      <c r="Q398" s="180" t="s">
        <v>155</v>
      </c>
      <c r="R398" s="180" t="s">
        <v>155</v>
      </c>
      <c r="S398" s="180" t="s">
        <v>155</v>
      </c>
      <c r="T398" s="180" t="s">
        <v>155</v>
      </c>
      <c r="U398" s="180" t="s">
        <v>155</v>
      </c>
      <c r="V398" s="61">
        <f t="shared" si="404"/>
        <v>45869</v>
      </c>
      <c r="W398" s="124">
        <f t="shared" si="397"/>
        <v>5</v>
      </c>
      <c r="AD398" s="61">
        <f t="shared" si="406"/>
        <v>45869</v>
      </c>
      <c r="AE398">
        <f t="shared" si="398"/>
        <v>0</v>
      </c>
      <c r="AF398">
        <f t="shared" si="399"/>
        <v>0</v>
      </c>
      <c r="AG398">
        <f t="shared" si="400"/>
        <v>0</v>
      </c>
      <c r="AH398">
        <f t="shared" si="401"/>
        <v>0</v>
      </c>
      <c r="AI398">
        <f t="shared" si="402"/>
        <v>0</v>
      </c>
      <c r="AJ398"/>
    </row>
    <row r="399" spans="15:36" x14ac:dyDescent="0.25">
      <c r="O399" s="61">
        <v>44043</v>
      </c>
      <c r="P399" s="124">
        <f t="shared" si="403"/>
        <v>6</v>
      </c>
      <c r="Q399" s="180" t="s">
        <v>155</v>
      </c>
      <c r="R399" s="180" t="s">
        <v>155</v>
      </c>
      <c r="S399" s="180" t="s">
        <v>155</v>
      </c>
      <c r="T399" s="180" t="s">
        <v>155</v>
      </c>
      <c r="U399" s="180" t="s">
        <v>155</v>
      </c>
      <c r="V399" s="61">
        <f t="shared" si="404"/>
        <v>45870</v>
      </c>
      <c r="W399" s="124">
        <f t="shared" si="397"/>
        <v>6</v>
      </c>
      <c r="AD399" s="61">
        <v>44043</v>
      </c>
      <c r="AE399">
        <f>AE398-(IF(Q399=1,1,0))</f>
        <v>0</v>
      </c>
      <c r="AF399">
        <f>AF398-(IF(R399=1,1,0))</f>
        <v>0</v>
      </c>
      <c r="AG399">
        <f>AG398-(IF(S399=1,1,0))</f>
        <v>0</v>
      </c>
      <c r="AH399">
        <f>AH398-(IF(T399=1,1,0))</f>
        <v>0</v>
      </c>
      <c r="AI399">
        <f>AI398-(IF(U399=1,1,0))</f>
        <v>0</v>
      </c>
      <c r="AJ399"/>
    </row>
    <row r="400" spans="15:36" x14ac:dyDescent="0.25">
      <c r="Q400" s="180">
        <f>COUNTIF(Q3:Q399,1)</f>
        <v>207</v>
      </c>
      <c r="R400" s="181">
        <f>COUNTIF(R3:R399,1)</f>
        <v>207</v>
      </c>
      <c r="S400" s="181">
        <f t="shared" ref="S400:U400" si="407">COUNTIF(S3:S399,1)</f>
        <v>187</v>
      </c>
      <c r="T400" s="181">
        <f t="shared" si="407"/>
        <v>187</v>
      </c>
      <c r="U400" s="181">
        <f t="shared" si="407"/>
        <v>187</v>
      </c>
    </row>
  </sheetData>
  <sheetProtection algorithmName="SHA-512" hashValue="SyRP6/hanRSverSW+XjowLbqjkG9oKy/FeulIAxvHdm22ACrhtSjukecCB16r0yT/16mAhzFb16rSl4tvxSpuA==" saltValue="SEAsOhESrD/3TeUta64ZLw==" spinCount="100000" sheet="1" selectLockedCells="1"/>
  <sortState ref="F1:H74">
    <sortCondition ref="F1"/>
  </sortState>
  <mergeCells count="2">
    <mergeCell ref="A2:B2"/>
    <mergeCell ref="A1:B1"/>
  </mergeCells>
  <conditionalFormatting sqref="R69:T69 Q36:Q65 R145:T150 R173:T188 R236:T240 R276:T276 R277:U280 R332:U336 Q276:Q399 Q67:Q270 R115:U121 S122 U122 R353:R399 T357:U399">
    <cfRule type="expression" dxfId="63" priority="63">
      <formula>$G35=7</formula>
    </cfRule>
    <cfRule type="expression" dxfId="62" priority="64">
      <formula>$G35=1</formula>
    </cfRule>
  </conditionalFormatting>
  <conditionalFormatting sqref="S42">
    <cfRule type="expression" dxfId="61" priority="37">
      <formula>$G41=7</formula>
    </cfRule>
    <cfRule type="expression" dxfId="60" priority="38">
      <formula>$G41=1</formula>
    </cfRule>
  </conditionalFormatting>
  <conditionalFormatting sqref="S3:S6 S10:S24 S26 S28:S41">
    <cfRule type="expression" dxfId="59" priority="57">
      <formula>$G2=7</formula>
    </cfRule>
    <cfRule type="expression" dxfId="58" priority="58">
      <formula>$G2=1</formula>
    </cfRule>
  </conditionalFormatting>
  <conditionalFormatting sqref="R3:R6 R10:R13">
    <cfRule type="expression" dxfId="57" priority="55">
      <formula>$G2=7</formula>
    </cfRule>
    <cfRule type="expression" dxfId="56" priority="56">
      <formula>$G2=1</formula>
    </cfRule>
  </conditionalFormatting>
  <conditionalFormatting sqref="R14">
    <cfRule type="expression" dxfId="55" priority="53">
      <formula>$G13=7</formula>
    </cfRule>
    <cfRule type="expression" dxfId="54" priority="54">
      <formula>$G13=1</formula>
    </cfRule>
  </conditionalFormatting>
  <conditionalFormatting sqref="T8:T9">
    <cfRule type="expression" dxfId="53" priority="49">
      <formula>$G7=7</formula>
    </cfRule>
    <cfRule type="expression" dxfId="52" priority="50">
      <formula>$G7=1</formula>
    </cfRule>
  </conditionalFormatting>
  <conditionalFormatting sqref="T3:T6 T10:T24 T26 T28:T41">
    <cfRule type="expression" dxfId="51" priority="47">
      <formula>$G2=7</formula>
    </cfRule>
    <cfRule type="expression" dxfId="50" priority="48">
      <formula>$G2=1</formula>
    </cfRule>
  </conditionalFormatting>
  <conditionalFormatting sqref="T42">
    <cfRule type="expression" dxfId="49" priority="35">
      <formula>$G41=7</formula>
    </cfRule>
    <cfRule type="expression" dxfId="48" priority="36">
      <formula>$G41=1</formula>
    </cfRule>
  </conditionalFormatting>
  <conditionalFormatting sqref="R122:R144 R70:R114 R151:R172 R67:R68 R26:R65 Q27:Q35 T122">
    <cfRule type="expression" dxfId="47" priority="45">
      <formula>$G25=7</formula>
    </cfRule>
    <cfRule type="expression" dxfId="46" priority="46">
      <formula>$G25=1</formula>
    </cfRule>
  </conditionalFormatting>
  <conditionalFormatting sqref="R189:R235 S201:T203 R281:R331 S299:T300 R241:R275 Q271:Q275 S271:U275 R337:R352">
    <cfRule type="expression" dxfId="45" priority="43">
      <formula>$G188=7</formula>
    </cfRule>
    <cfRule type="expression" dxfId="44" priority="44">
      <formula>$G188=1</formula>
    </cfRule>
  </conditionalFormatting>
  <conditionalFormatting sqref="S43:T65 S70:T114 S123:T144 S151:T172 S67:T68">
    <cfRule type="expression" dxfId="43" priority="41">
      <formula>$G42=7</formula>
    </cfRule>
    <cfRule type="expression" dxfId="42" priority="42">
      <formula>$G42=1</formula>
    </cfRule>
  </conditionalFormatting>
  <conditionalFormatting sqref="S189:T200 S204:T235 S241:T270 S281:T298 S301:T331 S347:S399 T347:U356 S337:T346">
    <cfRule type="expression" dxfId="41" priority="39">
      <formula>$G188=7</formula>
    </cfRule>
    <cfRule type="expression" dxfId="40" priority="40">
      <formula>$G188=1</formula>
    </cfRule>
  </conditionalFormatting>
  <conditionalFormatting sqref="U8:U9">
    <cfRule type="expression" dxfId="39" priority="19">
      <formula>$G7=7</formula>
    </cfRule>
    <cfRule type="expression" dxfId="38" priority="20">
      <formula>$G7=1</formula>
    </cfRule>
  </conditionalFormatting>
  <conditionalFormatting sqref="Q25">
    <cfRule type="expression" dxfId="37" priority="29">
      <formula>$G24=7</formula>
    </cfRule>
    <cfRule type="expression" dxfId="36" priority="30">
      <formula>$G24=1</formula>
    </cfRule>
  </conditionalFormatting>
  <conditionalFormatting sqref="S25">
    <cfRule type="expression" dxfId="35" priority="27">
      <formula>$G24=7</formula>
    </cfRule>
    <cfRule type="expression" dxfId="34" priority="28">
      <formula>$G24=1</formula>
    </cfRule>
  </conditionalFormatting>
  <conditionalFormatting sqref="T25">
    <cfRule type="expression" dxfId="33" priority="25">
      <formula>$G24=7</formula>
    </cfRule>
    <cfRule type="expression" dxfId="32" priority="26">
      <formula>$G24=1</formula>
    </cfRule>
  </conditionalFormatting>
  <conditionalFormatting sqref="U25">
    <cfRule type="expression" dxfId="31" priority="5">
      <formula>$G24=7</formula>
    </cfRule>
    <cfRule type="expression" dxfId="30" priority="6">
      <formula>$G24=1</formula>
    </cfRule>
  </conditionalFormatting>
  <conditionalFormatting sqref="R8:S9 Q3:Q6 Q8:Q24 Q26 R15:R25">
    <cfRule type="expression" dxfId="29" priority="59">
      <formula>$G2=7</formula>
    </cfRule>
    <cfRule type="expression" dxfId="28" priority="60">
      <formula>$G2=1</formula>
    </cfRule>
  </conditionalFormatting>
  <conditionalFormatting sqref="Q7:S7">
    <cfRule type="expression" dxfId="27" priority="61">
      <formula>$G4=7</formula>
    </cfRule>
    <cfRule type="expression" dxfId="26" priority="62">
      <formula>$G4=1</formula>
    </cfRule>
  </conditionalFormatting>
  <conditionalFormatting sqref="T7">
    <cfRule type="expression" dxfId="25" priority="51">
      <formula>$G4=7</formula>
    </cfRule>
    <cfRule type="expression" dxfId="24" priority="52">
      <formula>$G4=1</formula>
    </cfRule>
  </conditionalFormatting>
  <conditionalFormatting sqref="S27">
    <cfRule type="expression" dxfId="23" priority="33">
      <formula>$G24=7</formula>
    </cfRule>
    <cfRule type="expression" dxfId="22" priority="34">
      <formula>$G24=1</formula>
    </cfRule>
  </conditionalFormatting>
  <conditionalFormatting sqref="T27">
    <cfRule type="expression" dxfId="21" priority="31">
      <formula>$G24=7</formula>
    </cfRule>
    <cfRule type="expression" dxfId="20" priority="32">
      <formula>$G24=1</formula>
    </cfRule>
  </conditionalFormatting>
  <conditionalFormatting sqref="U69 U145:U150 U173:U188 U236:U240 U276">
    <cfRule type="expression" dxfId="19" priority="23">
      <formula>$G68=7</formula>
    </cfRule>
    <cfRule type="expression" dxfId="18" priority="24">
      <formula>$G68=1</formula>
    </cfRule>
  </conditionalFormatting>
  <conditionalFormatting sqref="U3:U6 U10:U24 U26 U28:U41">
    <cfRule type="expression" dxfId="17" priority="17">
      <formula>$G2=7</formula>
    </cfRule>
    <cfRule type="expression" dxfId="16" priority="18">
      <formula>$G2=1</formula>
    </cfRule>
  </conditionalFormatting>
  <conditionalFormatting sqref="U201:U203 U299:U300">
    <cfRule type="expression" dxfId="15" priority="15">
      <formula>$G200=7</formula>
    </cfRule>
    <cfRule type="expression" dxfId="14" priority="16">
      <formula>$G200=1</formula>
    </cfRule>
  </conditionalFormatting>
  <conditionalFormatting sqref="U43:U65 U70:U114 U123:U144 U151:U172 U67:U68">
    <cfRule type="expression" dxfId="13" priority="13">
      <formula>$G42=7</formula>
    </cfRule>
    <cfRule type="expression" dxfId="12" priority="14">
      <formula>$G42=1</formula>
    </cfRule>
  </conditionalFormatting>
  <conditionalFormatting sqref="U189:U200 U204:U235 U241:U270 U281:U298 U301:U331 U337:U346">
    <cfRule type="expression" dxfId="11" priority="11">
      <formula>$G188=7</formula>
    </cfRule>
    <cfRule type="expression" dxfId="10" priority="12">
      <formula>$G188=1</formula>
    </cfRule>
  </conditionalFormatting>
  <conditionalFormatting sqref="U42">
    <cfRule type="expression" dxfId="9" priority="9">
      <formula>$G41=7</formula>
    </cfRule>
    <cfRule type="expression" dxfId="8" priority="10">
      <formula>$G41=1</formula>
    </cfRule>
  </conditionalFormatting>
  <conditionalFormatting sqref="U7">
    <cfRule type="expression" dxfId="7" priority="21">
      <formula>$G4=7</formula>
    </cfRule>
    <cfRule type="expression" dxfId="6" priority="22">
      <formula>$G4=1</formula>
    </cfRule>
  </conditionalFormatting>
  <conditionalFormatting sqref="U27">
    <cfRule type="expression" dxfId="5" priority="7">
      <formula>$G24=7</formula>
    </cfRule>
    <cfRule type="expression" dxfId="4" priority="8">
      <formula>$G24=1</formula>
    </cfRule>
  </conditionalFormatting>
  <conditionalFormatting sqref="Q66:T66">
    <cfRule type="expression" dxfId="3" priority="3">
      <formula>$G65=7</formula>
    </cfRule>
    <cfRule type="expression" dxfId="2" priority="4">
      <formula>$G65=1</formula>
    </cfRule>
  </conditionalFormatting>
  <conditionalFormatting sqref="U66">
    <cfRule type="expression" dxfId="1" priority="1">
      <formula>$G65=7</formula>
    </cfRule>
    <cfRule type="expression" dxfId="0" priority="2">
      <formula>$G65=1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20</vt:i4>
      </vt:variant>
    </vt:vector>
  </HeadingPairs>
  <TitlesOfParts>
    <vt:vector size="25" baseType="lpstr">
      <vt:lpstr>Instructions</vt:lpstr>
      <vt:lpstr>Teacher A</vt:lpstr>
      <vt:lpstr>Teacher B</vt:lpstr>
      <vt:lpstr>Combined</vt:lpstr>
      <vt:lpstr>Calendars</vt:lpstr>
      <vt:lpstr>AprOffSet</vt:lpstr>
      <vt:lpstr>AugOffSet</vt:lpstr>
      <vt:lpstr>BegCalYear</vt:lpstr>
      <vt:lpstr>CalendarYear</vt:lpstr>
      <vt:lpstr>Contract</vt:lpstr>
      <vt:lpstr>DecOffSet</vt:lpstr>
      <vt:lpstr>EndCalYear</vt:lpstr>
      <vt:lpstr>FebOffSet</vt:lpstr>
      <vt:lpstr>JanOffSet</vt:lpstr>
      <vt:lpstr>July1OffSet</vt:lpstr>
      <vt:lpstr>JulyOffSet</vt:lpstr>
      <vt:lpstr>JuneOffSet</vt:lpstr>
      <vt:lpstr>MarOffSet</vt:lpstr>
      <vt:lpstr>MayOffSet</vt:lpstr>
      <vt:lpstr>NovOffSet</vt:lpstr>
      <vt:lpstr>OctOffSet</vt:lpstr>
      <vt:lpstr>Combined!Print_Area</vt:lpstr>
      <vt:lpstr>'Teacher A'!Print_Area</vt:lpstr>
      <vt:lpstr>'Teacher B'!Print_Area</vt:lpstr>
      <vt:lpstr>SeptOffSet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Bauer</dc:creator>
  <cp:lastModifiedBy>Brittany Bauer</cp:lastModifiedBy>
  <cp:lastPrinted>2023-05-01T15:56:01Z</cp:lastPrinted>
  <dcterms:created xsi:type="dcterms:W3CDTF">2018-08-15T17:17:49Z</dcterms:created>
  <dcterms:modified xsi:type="dcterms:W3CDTF">2024-03-27T15:37:23Z</dcterms:modified>
</cp:coreProperties>
</file>