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mc:AlternateContent xmlns:mc="http://schemas.openxmlformats.org/markup-compatibility/2006">
    <mc:Choice Requires="x15">
      <x15ac:absPath xmlns:x15ac="http://schemas.microsoft.com/office/spreadsheetml/2010/11/ac" url="\\jsdshare\045\Feeder LEAD\1-LEAD\Calendars -  Licensed &amp; ESP\2026-27 Calendars\"/>
    </mc:Choice>
  </mc:AlternateContent>
  <xr:revisionPtr revIDLastSave="0" documentId="13_ncr:1_{98C05DF3-A16E-470F-928F-5444C5F1B365}" xr6:coauthVersionLast="36" xr6:coauthVersionMax="36" xr10:uidLastSave="{00000000-0000-0000-0000-000000000000}"/>
  <bookViews>
    <workbookView xWindow="-105" yWindow="-105" windowWidth="23265" windowHeight="12585" xr2:uid="{00000000-000D-0000-FFFF-FFFF00000000}"/>
  </bookViews>
  <sheets>
    <sheet name="Instructions" sheetId="4" r:id="rId1"/>
    <sheet name="Location A" sheetId="1" r:id="rId2"/>
    <sheet name="Location B" sheetId="2" r:id="rId3"/>
    <sheet name="Combined" sheetId="3" r:id="rId4"/>
    <sheet name="Calendars" sheetId="6" state="hidden" r:id="rId5"/>
    <sheet name="Sheet1" sheetId="5" state="hidden" r:id="rId6"/>
  </sheets>
  <definedNames>
    <definedName name="AprOffSet">Calendars!$D$13</definedName>
    <definedName name="AugOffSet">Calendars!$D$5</definedName>
    <definedName name="BegCalYear">Calendars!$C$1</definedName>
    <definedName name="CalendarYear">Calendars!$C$2</definedName>
    <definedName name="Contract">'Location A'!$E$20:$G$20,'Location A'!$C$22:$G$22,'Location A'!$C$24:$G$24,'Location A'!$D$27:$G$27,'Location A'!$C$29:$G$29,'Location A'!$C$31:$G$31,'Location A'!$C$33:$G$33,'Location A'!$J$31:$N$31,'Location A'!$J$29:$N$29,'Location A'!$J$27:$N$27,'Location A'!$J$24:$N$24,'Location A'!$J$20:$N$20,'Location A'!$J$22:$K$22,'Location A'!$J$18:$M$18,'Location A'!$M$16:$N$16,'Location A'!$X$27:$Z$27,'Location A'!$Q$35:$U$35,'Location A'!$Q$33:$U$33,'Location A'!$Q$31:$U$31</definedName>
    <definedName name="DecOffSet">Calendars!$D$9</definedName>
    <definedName name="EndCalYear">Calendars!$C$2</definedName>
    <definedName name="FebOffSet">Calendars!$D$11</definedName>
    <definedName name="JanOffSet">Calendars!$D$10</definedName>
    <definedName name="July1OffSet">Calendars!$D$4</definedName>
    <definedName name="JulyOffSet">Calendars!$D$16</definedName>
    <definedName name="JuneOffSet">Calendars!$D$15</definedName>
    <definedName name="MarOffSet">Calendars!$D$12</definedName>
    <definedName name="MayOffSet">Calendars!$D$14</definedName>
    <definedName name="NovOffSet">Calendars!$D$8</definedName>
    <definedName name="OctOffSet">Calendars!$D$7</definedName>
    <definedName name="_xlnm.Print_Area" localSheetId="3">Combined!$A$1:$AC$55</definedName>
    <definedName name="_xlnm.Print_Area" localSheetId="0">Instructions!$A$1:$L$27</definedName>
    <definedName name="_xlnm.Print_Area" localSheetId="1">'Location A'!$A$1:$AD$54</definedName>
    <definedName name="_xlnm.Print_Area" localSheetId="2">'Location B'!$A$1:$AD$54</definedName>
    <definedName name="SeptOffSet">Calendars!$D$6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357" i="6" l="1"/>
  <c r="Q357" i="6"/>
  <c r="R356" i="6"/>
  <c r="Q356" i="6"/>
  <c r="R355" i="6"/>
  <c r="Q355" i="6"/>
  <c r="R354" i="6"/>
  <c r="Q354" i="6"/>
  <c r="R353" i="6"/>
  <c r="Q353" i="6"/>
  <c r="R352" i="6"/>
  <c r="Q352" i="6"/>
  <c r="R351" i="6"/>
  <c r="Q351" i="6"/>
  <c r="R350" i="6"/>
  <c r="Q350" i="6"/>
  <c r="R349" i="6"/>
  <c r="Q349" i="6"/>
  <c r="R348" i="6"/>
  <c r="Q348" i="6"/>
  <c r="R347" i="6"/>
  <c r="Q347" i="6"/>
  <c r="R346" i="6"/>
  <c r="Q346" i="6"/>
  <c r="R345" i="6"/>
  <c r="Q345" i="6"/>
  <c r="U344" i="6"/>
  <c r="T344" i="6"/>
  <c r="S344" i="6"/>
  <c r="R344" i="6"/>
  <c r="Q344" i="6"/>
  <c r="U343" i="6"/>
  <c r="T343" i="6"/>
  <c r="S343" i="6"/>
  <c r="R343" i="6"/>
  <c r="Q343" i="6"/>
  <c r="U342" i="6"/>
  <c r="T342" i="6"/>
  <c r="S342" i="6"/>
  <c r="R342" i="6"/>
  <c r="Q342" i="6"/>
  <c r="U341" i="6"/>
  <c r="T341" i="6"/>
  <c r="S341" i="6"/>
  <c r="R341" i="6"/>
  <c r="Q341" i="6"/>
  <c r="U340" i="6"/>
  <c r="T340" i="6"/>
  <c r="S340" i="6"/>
  <c r="R340" i="6"/>
  <c r="Q340" i="6"/>
  <c r="U339" i="6"/>
  <c r="T339" i="6"/>
  <c r="S339" i="6"/>
  <c r="R339" i="6"/>
  <c r="Q339" i="6"/>
  <c r="U338" i="6"/>
  <c r="T338" i="6"/>
  <c r="S338" i="6"/>
  <c r="R338" i="6"/>
  <c r="Q338" i="6"/>
  <c r="U336" i="6"/>
  <c r="T336" i="6"/>
  <c r="S336" i="6"/>
  <c r="R336" i="6"/>
  <c r="Q336" i="6"/>
  <c r="U335" i="6"/>
  <c r="T335" i="6"/>
  <c r="S335" i="6"/>
  <c r="R335" i="6"/>
  <c r="Q335" i="6"/>
  <c r="U334" i="6"/>
  <c r="T334" i="6"/>
  <c r="S334" i="6"/>
  <c r="R334" i="6"/>
  <c r="Q334" i="6"/>
  <c r="U333" i="6"/>
  <c r="T333" i="6"/>
  <c r="S333" i="6"/>
  <c r="R333" i="6"/>
  <c r="Q333" i="6"/>
  <c r="U332" i="6"/>
  <c r="T332" i="6"/>
  <c r="S332" i="6"/>
  <c r="R332" i="6"/>
  <c r="Q332" i="6"/>
  <c r="U331" i="6"/>
  <c r="T331" i="6"/>
  <c r="S331" i="6"/>
  <c r="R331" i="6"/>
  <c r="Q331" i="6"/>
  <c r="U330" i="6"/>
  <c r="T330" i="6"/>
  <c r="S330" i="6"/>
  <c r="R330" i="6"/>
  <c r="Q330" i="6"/>
  <c r="U329" i="6"/>
  <c r="T329" i="6"/>
  <c r="S329" i="6"/>
  <c r="R329" i="6"/>
  <c r="Q329" i="6"/>
  <c r="U328" i="6"/>
  <c r="T328" i="6"/>
  <c r="S328" i="6"/>
  <c r="R328" i="6"/>
  <c r="Q328" i="6"/>
  <c r="U327" i="6"/>
  <c r="T327" i="6"/>
  <c r="S327" i="6"/>
  <c r="R327" i="6"/>
  <c r="Q327" i="6"/>
  <c r="U326" i="6"/>
  <c r="T326" i="6"/>
  <c r="S326" i="6"/>
  <c r="R326" i="6"/>
  <c r="Q326" i="6"/>
  <c r="U325" i="6"/>
  <c r="T325" i="6"/>
  <c r="S325" i="6"/>
  <c r="R325" i="6"/>
  <c r="Q325" i="6"/>
  <c r="U324" i="6"/>
  <c r="T324" i="6"/>
  <c r="S324" i="6"/>
  <c r="R324" i="6"/>
  <c r="Q324" i="6"/>
  <c r="U323" i="6"/>
  <c r="T323" i="6"/>
  <c r="S323" i="6"/>
  <c r="R323" i="6"/>
  <c r="Q323" i="6"/>
  <c r="U322" i="6"/>
  <c r="T322" i="6"/>
  <c r="S322" i="6"/>
  <c r="R322" i="6"/>
  <c r="Q322" i="6"/>
  <c r="U321" i="6"/>
  <c r="T321" i="6"/>
  <c r="S321" i="6"/>
  <c r="R321" i="6"/>
  <c r="Q321" i="6"/>
  <c r="U320" i="6"/>
  <c r="T320" i="6"/>
  <c r="S320" i="6"/>
  <c r="R320" i="6"/>
  <c r="Q320" i="6"/>
  <c r="U319" i="6"/>
  <c r="T319" i="6"/>
  <c r="S319" i="6"/>
  <c r="R319" i="6"/>
  <c r="Q319" i="6"/>
  <c r="U318" i="6"/>
  <c r="T318" i="6"/>
  <c r="S318" i="6"/>
  <c r="R318" i="6"/>
  <c r="Q318" i="6"/>
  <c r="U317" i="6"/>
  <c r="T317" i="6"/>
  <c r="S317" i="6"/>
  <c r="R317" i="6"/>
  <c r="Q317" i="6"/>
  <c r="U316" i="6"/>
  <c r="T316" i="6"/>
  <c r="S316" i="6"/>
  <c r="R316" i="6"/>
  <c r="Q316" i="6"/>
  <c r="U315" i="6"/>
  <c r="T315" i="6"/>
  <c r="S315" i="6"/>
  <c r="R315" i="6"/>
  <c r="Q315" i="6"/>
  <c r="U314" i="6"/>
  <c r="T314" i="6"/>
  <c r="S314" i="6"/>
  <c r="R314" i="6"/>
  <c r="Q314" i="6"/>
  <c r="U313" i="6"/>
  <c r="T313" i="6"/>
  <c r="S313" i="6"/>
  <c r="R313" i="6"/>
  <c r="Q313" i="6"/>
  <c r="U312" i="6"/>
  <c r="T312" i="6"/>
  <c r="S312" i="6"/>
  <c r="R312" i="6"/>
  <c r="Q312" i="6"/>
  <c r="U311" i="6"/>
  <c r="T311" i="6"/>
  <c r="S311" i="6"/>
  <c r="R311" i="6"/>
  <c r="Q311" i="6"/>
  <c r="U310" i="6"/>
  <c r="T310" i="6"/>
  <c r="S310" i="6"/>
  <c r="R310" i="6"/>
  <c r="Q310" i="6"/>
  <c r="U309" i="6"/>
  <c r="T309" i="6"/>
  <c r="S309" i="6"/>
  <c r="R309" i="6"/>
  <c r="Q309" i="6"/>
  <c r="U308" i="6"/>
  <c r="T308" i="6"/>
  <c r="S308" i="6"/>
  <c r="R308" i="6"/>
  <c r="Q308" i="6"/>
  <c r="U307" i="6"/>
  <c r="T307" i="6"/>
  <c r="S307" i="6"/>
  <c r="R307" i="6"/>
  <c r="Q307" i="6"/>
  <c r="U306" i="6"/>
  <c r="T306" i="6"/>
  <c r="S306" i="6"/>
  <c r="R306" i="6"/>
  <c r="Q306" i="6"/>
  <c r="U305" i="6"/>
  <c r="T305" i="6"/>
  <c r="S305" i="6"/>
  <c r="R305" i="6"/>
  <c r="Q305" i="6"/>
  <c r="U304" i="6"/>
  <c r="T304" i="6"/>
  <c r="S304" i="6"/>
  <c r="R304" i="6"/>
  <c r="Q304" i="6"/>
  <c r="U303" i="6"/>
  <c r="T303" i="6"/>
  <c r="S303" i="6"/>
  <c r="R303" i="6"/>
  <c r="Q303" i="6"/>
  <c r="U302" i="6"/>
  <c r="T302" i="6"/>
  <c r="S302" i="6"/>
  <c r="R302" i="6"/>
  <c r="Q302" i="6"/>
  <c r="U301" i="6"/>
  <c r="T301" i="6"/>
  <c r="S301" i="6"/>
  <c r="R301" i="6"/>
  <c r="Q301" i="6"/>
  <c r="U300" i="6"/>
  <c r="T300" i="6"/>
  <c r="S300" i="6"/>
  <c r="R300" i="6"/>
  <c r="Q300" i="6"/>
  <c r="U299" i="6"/>
  <c r="T299" i="6"/>
  <c r="S299" i="6"/>
  <c r="R299" i="6"/>
  <c r="Q299" i="6"/>
  <c r="U298" i="6"/>
  <c r="T298" i="6"/>
  <c r="S298" i="6"/>
  <c r="R298" i="6"/>
  <c r="Q298" i="6"/>
  <c r="U297" i="6"/>
  <c r="T297" i="6"/>
  <c r="S297" i="6"/>
  <c r="R297" i="6"/>
  <c r="Q297" i="6"/>
  <c r="U296" i="6"/>
  <c r="T296" i="6"/>
  <c r="S296" i="6"/>
  <c r="R296" i="6"/>
  <c r="Q296" i="6"/>
  <c r="U295" i="6"/>
  <c r="T295" i="6"/>
  <c r="S295" i="6"/>
  <c r="R295" i="6"/>
  <c r="Q295" i="6"/>
  <c r="U294" i="6"/>
  <c r="T294" i="6"/>
  <c r="S294" i="6"/>
  <c r="R294" i="6"/>
  <c r="Q294" i="6"/>
  <c r="U293" i="6"/>
  <c r="T293" i="6"/>
  <c r="S293" i="6"/>
  <c r="R293" i="6"/>
  <c r="Q293" i="6"/>
  <c r="U292" i="6"/>
  <c r="T292" i="6"/>
  <c r="S292" i="6"/>
  <c r="R292" i="6"/>
  <c r="Q292" i="6"/>
  <c r="U291" i="6"/>
  <c r="T291" i="6"/>
  <c r="S291" i="6"/>
  <c r="R291" i="6"/>
  <c r="Q291" i="6"/>
  <c r="U290" i="6"/>
  <c r="T290" i="6"/>
  <c r="S290" i="6"/>
  <c r="R290" i="6"/>
  <c r="Q290" i="6"/>
  <c r="U289" i="6"/>
  <c r="T289" i="6"/>
  <c r="S289" i="6"/>
  <c r="R289" i="6"/>
  <c r="Q289" i="6"/>
  <c r="U288" i="6"/>
  <c r="T288" i="6"/>
  <c r="S288" i="6"/>
  <c r="R288" i="6"/>
  <c r="Q288" i="6"/>
  <c r="U287" i="6"/>
  <c r="T287" i="6"/>
  <c r="S287" i="6"/>
  <c r="R287" i="6"/>
  <c r="Q287" i="6"/>
  <c r="U286" i="6"/>
  <c r="T286" i="6"/>
  <c r="S286" i="6"/>
  <c r="R286" i="6"/>
  <c r="Q286" i="6"/>
  <c r="U285" i="6"/>
  <c r="T285" i="6"/>
  <c r="S285" i="6"/>
  <c r="R285" i="6"/>
  <c r="Q285" i="6"/>
  <c r="U284" i="6"/>
  <c r="T284" i="6"/>
  <c r="S284" i="6"/>
  <c r="R284" i="6"/>
  <c r="Q284" i="6"/>
  <c r="U283" i="6"/>
  <c r="T283" i="6"/>
  <c r="S283" i="6"/>
  <c r="R283" i="6"/>
  <c r="Q283" i="6"/>
  <c r="U282" i="6"/>
  <c r="T282" i="6"/>
  <c r="S282" i="6"/>
  <c r="R282" i="6"/>
  <c r="Q282" i="6"/>
  <c r="U281" i="6"/>
  <c r="T281" i="6"/>
  <c r="S281" i="6"/>
  <c r="R281" i="6"/>
  <c r="Q281" i="6"/>
  <c r="U280" i="6"/>
  <c r="T280" i="6"/>
  <c r="S280" i="6"/>
  <c r="R280" i="6"/>
  <c r="Q280" i="6"/>
  <c r="U279" i="6"/>
  <c r="T279" i="6"/>
  <c r="S279" i="6"/>
  <c r="R279" i="6"/>
  <c r="Q279" i="6"/>
  <c r="U273" i="6"/>
  <c r="T273" i="6"/>
  <c r="S273" i="6"/>
  <c r="R273" i="6"/>
  <c r="Q273" i="6"/>
  <c r="U272" i="6"/>
  <c r="T272" i="6"/>
  <c r="S272" i="6"/>
  <c r="R272" i="6"/>
  <c r="Q272" i="6"/>
  <c r="U270" i="6"/>
  <c r="T270" i="6"/>
  <c r="S270" i="6"/>
  <c r="R270" i="6"/>
  <c r="Q270" i="6"/>
  <c r="U269" i="6"/>
  <c r="T269" i="6"/>
  <c r="S269" i="6"/>
  <c r="R269" i="6"/>
  <c r="Q269" i="6"/>
  <c r="U268" i="6"/>
  <c r="T268" i="6"/>
  <c r="S268" i="6"/>
  <c r="R268" i="6"/>
  <c r="Q268" i="6"/>
  <c r="U267" i="6"/>
  <c r="T267" i="6"/>
  <c r="S267" i="6"/>
  <c r="R267" i="6"/>
  <c r="Q267" i="6"/>
  <c r="U266" i="6"/>
  <c r="T266" i="6"/>
  <c r="S266" i="6"/>
  <c r="R266" i="6"/>
  <c r="Q266" i="6"/>
  <c r="U265" i="6"/>
  <c r="T265" i="6"/>
  <c r="S265" i="6"/>
  <c r="R265" i="6"/>
  <c r="Q265" i="6"/>
  <c r="U264" i="6"/>
  <c r="T264" i="6"/>
  <c r="S264" i="6"/>
  <c r="R264" i="6"/>
  <c r="Q264" i="6"/>
  <c r="U263" i="6"/>
  <c r="T263" i="6"/>
  <c r="S263" i="6"/>
  <c r="R263" i="6"/>
  <c r="Q263" i="6"/>
  <c r="U262" i="6"/>
  <c r="T262" i="6"/>
  <c r="S262" i="6"/>
  <c r="R262" i="6"/>
  <c r="Q262" i="6"/>
  <c r="U261" i="6"/>
  <c r="T261" i="6"/>
  <c r="S261" i="6"/>
  <c r="R261" i="6"/>
  <c r="Q261" i="6"/>
  <c r="U260" i="6"/>
  <c r="T260" i="6"/>
  <c r="S260" i="6"/>
  <c r="R260" i="6"/>
  <c r="Q260" i="6"/>
  <c r="U259" i="6"/>
  <c r="T259" i="6"/>
  <c r="S259" i="6"/>
  <c r="R259" i="6"/>
  <c r="Q259" i="6"/>
  <c r="U258" i="6"/>
  <c r="T258" i="6"/>
  <c r="S258" i="6"/>
  <c r="R258" i="6"/>
  <c r="Q258" i="6"/>
  <c r="U257" i="6"/>
  <c r="T257" i="6"/>
  <c r="S257" i="6"/>
  <c r="R257" i="6"/>
  <c r="Q257" i="6"/>
  <c r="U256" i="6"/>
  <c r="T256" i="6"/>
  <c r="S256" i="6"/>
  <c r="R256" i="6"/>
  <c r="Q256" i="6"/>
  <c r="U255" i="6"/>
  <c r="T255" i="6"/>
  <c r="S255" i="6"/>
  <c r="R255" i="6"/>
  <c r="Q255" i="6"/>
  <c r="U254" i="6"/>
  <c r="T254" i="6"/>
  <c r="S254" i="6"/>
  <c r="R254" i="6"/>
  <c r="Q254" i="6"/>
  <c r="U253" i="6"/>
  <c r="T253" i="6"/>
  <c r="S253" i="6"/>
  <c r="R253" i="6"/>
  <c r="Q253" i="6"/>
  <c r="U252" i="6"/>
  <c r="T252" i="6"/>
  <c r="S252" i="6"/>
  <c r="R252" i="6"/>
  <c r="Q252" i="6"/>
  <c r="U251" i="6"/>
  <c r="T251" i="6"/>
  <c r="S251" i="6"/>
  <c r="R251" i="6"/>
  <c r="Q251" i="6"/>
  <c r="U250" i="6"/>
  <c r="T250" i="6"/>
  <c r="S250" i="6"/>
  <c r="R250" i="6"/>
  <c r="Q250" i="6"/>
  <c r="U249" i="6"/>
  <c r="T249" i="6"/>
  <c r="S249" i="6"/>
  <c r="R249" i="6"/>
  <c r="Q249" i="6"/>
  <c r="U248" i="6"/>
  <c r="T248" i="6"/>
  <c r="S248" i="6"/>
  <c r="R248" i="6"/>
  <c r="Q248" i="6"/>
  <c r="U247" i="6"/>
  <c r="T247" i="6"/>
  <c r="S247" i="6"/>
  <c r="R247" i="6"/>
  <c r="Q247" i="6"/>
  <c r="U246" i="6"/>
  <c r="T246" i="6"/>
  <c r="S246" i="6"/>
  <c r="R246" i="6"/>
  <c r="Q246" i="6"/>
  <c r="U245" i="6"/>
  <c r="T245" i="6"/>
  <c r="S245" i="6"/>
  <c r="R245" i="6"/>
  <c r="Q245" i="6"/>
  <c r="U244" i="6"/>
  <c r="T244" i="6"/>
  <c r="S244" i="6"/>
  <c r="R244" i="6"/>
  <c r="Q244" i="6"/>
  <c r="U243" i="6"/>
  <c r="T243" i="6"/>
  <c r="S243" i="6"/>
  <c r="R243" i="6"/>
  <c r="Q243" i="6"/>
  <c r="U242" i="6"/>
  <c r="T242" i="6"/>
  <c r="S242" i="6"/>
  <c r="R242" i="6"/>
  <c r="Q242" i="6"/>
  <c r="U241" i="6"/>
  <c r="T241" i="6"/>
  <c r="S241" i="6"/>
  <c r="R241" i="6"/>
  <c r="Q241" i="6"/>
  <c r="U240" i="6"/>
  <c r="T240" i="6"/>
  <c r="S240" i="6"/>
  <c r="R240" i="6"/>
  <c r="Q240" i="6"/>
  <c r="U239" i="6"/>
  <c r="T239" i="6"/>
  <c r="S239" i="6"/>
  <c r="R239" i="6"/>
  <c r="Q239" i="6"/>
  <c r="U238" i="6"/>
  <c r="T238" i="6"/>
  <c r="S238" i="6"/>
  <c r="R238" i="6"/>
  <c r="Q238" i="6"/>
  <c r="U237" i="6"/>
  <c r="T237" i="6"/>
  <c r="S237" i="6"/>
  <c r="R237" i="6"/>
  <c r="Q237" i="6"/>
  <c r="U235" i="6"/>
  <c r="T235" i="6"/>
  <c r="S235" i="6"/>
  <c r="R235" i="6"/>
  <c r="Q235" i="6"/>
  <c r="U234" i="6"/>
  <c r="T234" i="6"/>
  <c r="S234" i="6"/>
  <c r="R234" i="6"/>
  <c r="Q234" i="6"/>
  <c r="U233" i="6"/>
  <c r="T233" i="6"/>
  <c r="S233" i="6"/>
  <c r="R233" i="6"/>
  <c r="Q233" i="6"/>
  <c r="U231" i="6"/>
  <c r="T231" i="6"/>
  <c r="S231" i="6"/>
  <c r="R231" i="6"/>
  <c r="Q231" i="6"/>
  <c r="U230" i="6"/>
  <c r="T230" i="6"/>
  <c r="S230" i="6"/>
  <c r="R230" i="6"/>
  <c r="Q230" i="6"/>
  <c r="U229" i="6"/>
  <c r="T229" i="6"/>
  <c r="S229" i="6"/>
  <c r="R229" i="6"/>
  <c r="Q229" i="6"/>
  <c r="U228" i="6"/>
  <c r="T228" i="6"/>
  <c r="S228" i="6"/>
  <c r="R228" i="6"/>
  <c r="Q228" i="6"/>
  <c r="U227" i="6"/>
  <c r="T227" i="6"/>
  <c r="S227" i="6"/>
  <c r="R227" i="6"/>
  <c r="Q227" i="6"/>
  <c r="U226" i="6"/>
  <c r="T226" i="6"/>
  <c r="S226" i="6"/>
  <c r="R226" i="6"/>
  <c r="Q226" i="6"/>
  <c r="U225" i="6"/>
  <c r="T225" i="6"/>
  <c r="S225" i="6"/>
  <c r="R225" i="6"/>
  <c r="Q225" i="6"/>
  <c r="U224" i="6"/>
  <c r="T224" i="6"/>
  <c r="S224" i="6"/>
  <c r="R224" i="6"/>
  <c r="Q224" i="6"/>
  <c r="U223" i="6"/>
  <c r="T223" i="6"/>
  <c r="S223" i="6"/>
  <c r="R223" i="6"/>
  <c r="Q223" i="6"/>
  <c r="U222" i="6"/>
  <c r="T222" i="6"/>
  <c r="S222" i="6"/>
  <c r="R222" i="6"/>
  <c r="Q222" i="6"/>
  <c r="U221" i="6"/>
  <c r="T221" i="6"/>
  <c r="S221" i="6"/>
  <c r="R221" i="6"/>
  <c r="Q221" i="6"/>
  <c r="U220" i="6"/>
  <c r="T220" i="6"/>
  <c r="S220" i="6"/>
  <c r="R220" i="6"/>
  <c r="Q220" i="6"/>
  <c r="U219" i="6"/>
  <c r="T219" i="6"/>
  <c r="S219" i="6"/>
  <c r="R219" i="6"/>
  <c r="Q219" i="6"/>
  <c r="U218" i="6"/>
  <c r="T218" i="6"/>
  <c r="S218" i="6"/>
  <c r="R218" i="6"/>
  <c r="Q218" i="6"/>
  <c r="U217" i="6"/>
  <c r="T217" i="6"/>
  <c r="S217" i="6"/>
  <c r="R217" i="6"/>
  <c r="Q217" i="6"/>
  <c r="U216" i="6"/>
  <c r="T216" i="6"/>
  <c r="S216" i="6"/>
  <c r="R216" i="6"/>
  <c r="Q216" i="6"/>
  <c r="U215" i="6"/>
  <c r="T215" i="6"/>
  <c r="S215" i="6"/>
  <c r="R215" i="6"/>
  <c r="Q215" i="6"/>
  <c r="U214" i="6"/>
  <c r="T214" i="6"/>
  <c r="S214" i="6"/>
  <c r="R214" i="6"/>
  <c r="Q214" i="6"/>
  <c r="U213" i="6"/>
  <c r="T213" i="6"/>
  <c r="S213" i="6"/>
  <c r="R213" i="6"/>
  <c r="Q213" i="6"/>
  <c r="U212" i="6"/>
  <c r="T212" i="6"/>
  <c r="S212" i="6"/>
  <c r="R212" i="6"/>
  <c r="Q212" i="6"/>
  <c r="U211" i="6"/>
  <c r="T211" i="6"/>
  <c r="S211" i="6"/>
  <c r="R211" i="6"/>
  <c r="Q211" i="6"/>
  <c r="U210" i="6"/>
  <c r="T210" i="6"/>
  <c r="S210" i="6"/>
  <c r="R210" i="6"/>
  <c r="Q210" i="6"/>
  <c r="U209" i="6"/>
  <c r="T209" i="6"/>
  <c r="S209" i="6"/>
  <c r="R209" i="6"/>
  <c r="Q209" i="6"/>
  <c r="U208" i="6"/>
  <c r="T208" i="6"/>
  <c r="S208" i="6"/>
  <c r="R208" i="6"/>
  <c r="Q208" i="6"/>
  <c r="U207" i="6"/>
  <c r="T207" i="6"/>
  <c r="S207" i="6"/>
  <c r="R207" i="6"/>
  <c r="Q207" i="6"/>
  <c r="U206" i="6"/>
  <c r="T206" i="6"/>
  <c r="S206" i="6"/>
  <c r="R206" i="6"/>
  <c r="Q206" i="6"/>
  <c r="U205" i="6"/>
  <c r="T205" i="6"/>
  <c r="S205" i="6"/>
  <c r="R205" i="6"/>
  <c r="Q205" i="6"/>
  <c r="U203" i="6"/>
  <c r="T203" i="6"/>
  <c r="S203" i="6"/>
  <c r="R203" i="6"/>
  <c r="Q203" i="6"/>
  <c r="U202" i="6"/>
  <c r="T202" i="6"/>
  <c r="S202" i="6"/>
  <c r="R202" i="6"/>
  <c r="Q202" i="6"/>
  <c r="U200" i="6"/>
  <c r="T200" i="6"/>
  <c r="S200" i="6"/>
  <c r="R200" i="6"/>
  <c r="Q200" i="6"/>
  <c r="U199" i="6"/>
  <c r="T199" i="6"/>
  <c r="S199" i="6"/>
  <c r="R199" i="6"/>
  <c r="Q199" i="6"/>
  <c r="U198" i="6"/>
  <c r="T198" i="6"/>
  <c r="S198" i="6"/>
  <c r="R198" i="6"/>
  <c r="Q198" i="6"/>
  <c r="U197" i="6"/>
  <c r="T197" i="6"/>
  <c r="S197" i="6"/>
  <c r="R197" i="6"/>
  <c r="Q197" i="6"/>
  <c r="U196" i="6"/>
  <c r="T196" i="6"/>
  <c r="S196" i="6"/>
  <c r="R196" i="6"/>
  <c r="Q196" i="6"/>
  <c r="U195" i="6"/>
  <c r="T195" i="6"/>
  <c r="S195" i="6"/>
  <c r="R195" i="6"/>
  <c r="Q195" i="6"/>
  <c r="U194" i="6"/>
  <c r="T194" i="6"/>
  <c r="S194" i="6"/>
  <c r="R194" i="6"/>
  <c r="Q194" i="6"/>
  <c r="U193" i="6"/>
  <c r="T193" i="6"/>
  <c r="S193" i="6"/>
  <c r="R193" i="6"/>
  <c r="Q193" i="6"/>
  <c r="U192" i="6"/>
  <c r="T192" i="6"/>
  <c r="S192" i="6"/>
  <c r="R192" i="6"/>
  <c r="Q192" i="6"/>
  <c r="U191" i="6"/>
  <c r="T191" i="6"/>
  <c r="S191" i="6"/>
  <c r="R191" i="6"/>
  <c r="Q191" i="6"/>
  <c r="U190" i="6"/>
  <c r="T190" i="6"/>
  <c r="S190" i="6"/>
  <c r="R190" i="6"/>
  <c r="Q190" i="6"/>
  <c r="U189" i="6"/>
  <c r="T189" i="6"/>
  <c r="S189" i="6"/>
  <c r="R189" i="6"/>
  <c r="Q189" i="6"/>
  <c r="U188" i="6"/>
  <c r="T188" i="6"/>
  <c r="S188" i="6"/>
  <c r="R188" i="6"/>
  <c r="Q188" i="6"/>
  <c r="U175" i="6"/>
  <c r="T175" i="6"/>
  <c r="S175" i="6"/>
  <c r="R175" i="6"/>
  <c r="Q175" i="6"/>
  <c r="U174" i="6"/>
  <c r="T174" i="6"/>
  <c r="S174" i="6"/>
  <c r="R174" i="6"/>
  <c r="Q174" i="6"/>
  <c r="U173" i="6"/>
  <c r="T173" i="6"/>
  <c r="S173" i="6"/>
  <c r="R173" i="6"/>
  <c r="Q173" i="6"/>
  <c r="U172" i="6"/>
  <c r="T172" i="6"/>
  <c r="S172" i="6"/>
  <c r="R172" i="6"/>
  <c r="Q172" i="6"/>
  <c r="U171" i="6"/>
  <c r="T171" i="6"/>
  <c r="S171" i="6"/>
  <c r="R171" i="6"/>
  <c r="Q171" i="6"/>
  <c r="U170" i="6"/>
  <c r="T170" i="6"/>
  <c r="S170" i="6"/>
  <c r="R170" i="6"/>
  <c r="Q170" i="6"/>
  <c r="U169" i="6"/>
  <c r="T169" i="6"/>
  <c r="S169" i="6"/>
  <c r="R169" i="6"/>
  <c r="Q169" i="6"/>
  <c r="U168" i="6"/>
  <c r="T168" i="6"/>
  <c r="S168" i="6"/>
  <c r="R168" i="6"/>
  <c r="Q168" i="6"/>
  <c r="U167" i="6"/>
  <c r="T167" i="6"/>
  <c r="S167" i="6"/>
  <c r="R167" i="6"/>
  <c r="Q167" i="6"/>
  <c r="U166" i="6"/>
  <c r="T166" i="6"/>
  <c r="S166" i="6"/>
  <c r="R166" i="6"/>
  <c r="Q166" i="6"/>
  <c r="U165" i="6"/>
  <c r="T165" i="6"/>
  <c r="S165" i="6"/>
  <c r="R165" i="6"/>
  <c r="Q165" i="6"/>
  <c r="U164" i="6"/>
  <c r="T164" i="6"/>
  <c r="S164" i="6"/>
  <c r="R164" i="6"/>
  <c r="Q164" i="6"/>
  <c r="U163" i="6"/>
  <c r="T163" i="6"/>
  <c r="S163" i="6"/>
  <c r="R163" i="6"/>
  <c r="Q163" i="6"/>
  <c r="U162" i="6"/>
  <c r="T162" i="6"/>
  <c r="S162" i="6"/>
  <c r="R162" i="6"/>
  <c r="Q162" i="6"/>
  <c r="U161" i="6"/>
  <c r="T161" i="6"/>
  <c r="S161" i="6"/>
  <c r="R161" i="6"/>
  <c r="Q161" i="6"/>
  <c r="U160" i="6"/>
  <c r="T160" i="6"/>
  <c r="S160" i="6"/>
  <c r="R160" i="6"/>
  <c r="Q160" i="6"/>
  <c r="U159" i="6"/>
  <c r="T159" i="6"/>
  <c r="S159" i="6"/>
  <c r="R159" i="6"/>
  <c r="Q159" i="6"/>
  <c r="U158" i="6"/>
  <c r="T158" i="6"/>
  <c r="S158" i="6"/>
  <c r="R158" i="6"/>
  <c r="Q158" i="6"/>
  <c r="U157" i="6"/>
  <c r="T157" i="6"/>
  <c r="S157" i="6"/>
  <c r="R157" i="6"/>
  <c r="Q157" i="6"/>
  <c r="U156" i="6"/>
  <c r="T156" i="6"/>
  <c r="S156" i="6"/>
  <c r="R156" i="6"/>
  <c r="Q156" i="6"/>
  <c r="U155" i="6"/>
  <c r="T155" i="6"/>
  <c r="S155" i="6"/>
  <c r="R155" i="6"/>
  <c r="Q155" i="6"/>
  <c r="U154" i="6"/>
  <c r="T154" i="6"/>
  <c r="S154" i="6"/>
  <c r="R154" i="6"/>
  <c r="Q154" i="6"/>
  <c r="U153" i="6"/>
  <c r="T153" i="6"/>
  <c r="S153" i="6"/>
  <c r="R153" i="6"/>
  <c r="Q153" i="6"/>
  <c r="U149" i="6"/>
  <c r="T149" i="6"/>
  <c r="S149" i="6"/>
  <c r="R149" i="6"/>
  <c r="Q149" i="6"/>
  <c r="U148" i="6"/>
  <c r="T148" i="6"/>
  <c r="S148" i="6"/>
  <c r="R148" i="6"/>
  <c r="Q148" i="6"/>
  <c r="U146" i="6"/>
  <c r="T146" i="6"/>
  <c r="S146" i="6"/>
  <c r="R146" i="6"/>
  <c r="Q146" i="6"/>
  <c r="U145" i="6"/>
  <c r="T145" i="6"/>
  <c r="S145" i="6"/>
  <c r="R145" i="6"/>
  <c r="Q145" i="6"/>
  <c r="U144" i="6"/>
  <c r="T144" i="6"/>
  <c r="S144" i="6"/>
  <c r="R144" i="6"/>
  <c r="Q144" i="6"/>
  <c r="U143" i="6"/>
  <c r="T143" i="6"/>
  <c r="S143" i="6"/>
  <c r="R143" i="6"/>
  <c r="Q143" i="6"/>
  <c r="U142" i="6"/>
  <c r="T142" i="6"/>
  <c r="S142" i="6"/>
  <c r="R142" i="6"/>
  <c r="Q142" i="6"/>
  <c r="U141" i="6"/>
  <c r="T141" i="6"/>
  <c r="S141" i="6"/>
  <c r="R141" i="6"/>
  <c r="Q141" i="6"/>
  <c r="U140" i="6"/>
  <c r="T140" i="6"/>
  <c r="S140" i="6"/>
  <c r="R140" i="6"/>
  <c r="Q140" i="6"/>
  <c r="U139" i="6"/>
  <c r="T139" i="6"/>
  <c r="S139" i="6"/>
  <c r="R139" i="6"/>
  <c r="Q139" i="6"/>
  <c r="U138" i="6"/>
  <c r="T138" i="6"/>
  <c r="S138" i="6"/>
  <c r="R138" i="6"/>
  <c r="Q138" i="6"/>
  <c r="U137" i="6"/>
  <c r="T137" i="6"/>
  <c r="S137" i="6"/>
  <c r="R137" i="6"/>
  <c r="Q137" i="6"/>
  <c r="U136" i="6"/>
  <c r="T136" i="6"/>
  <c r="S136" i="6"/>
  <c r="R136" i="6"/>
  <c r="Q136" i="6"/>
  <c r="U135" i="6"/>
  <c r="T135" i="6"/>
  <c r="S135" i="6"/>
  <c r="R135" i="6"/>
  <c r="Q135" i="6"/>
  <c r="U134" i="6"/>
  <c r="T134" i="6"/>
  <c r="S134" i="6"/>
  <c r="R134" i="6"/>
  <c r="Q134" i="6"/>
  <c r="U133" i="6"/>
  <c r="T133" i="6"/>
  <c r="S133" i="6"/>
  <c r="R133" i="6"/>
  <c r="Q133" i="6"/>
  <c r="U132" i="6"/>
  <c r="T132" i="6"/>
  <c r="S132" i="6"/>
  <c r="R132" i="6"/>
  <c r="Q132" i="6"/>
  <c r="U131" i="6"/>
  <c r="T131" i="6"/>
  <c r="S131" i="6"/>
  <c r="R131" i="6"/>
  <c r="Q131" i="6"/>
  <c r="U130" i="6"/>
  <c r="T130" i="6"/>
  <c r="S130" i="6"/>
  <c r="R130" i="6"/>
  <c r="Q130" i="6"/>
  <c r="U129" i="6"/>
  <c r="T129" i="6"/>
  <c r="S129" i="6"/>
  <c r="R129" i="6"/>
  <c r="Q129" i="6"/>
  <c r="U128" i="6"/>
  <c r="T128" i="6"/>
  <c r="S128" i="6"/>
  <c r="R128" i="6"/>
  <c r="Q128" i="6"/>
  <c r="U127" i="6"/>
  <c r="T127" i="6"/>
  <c r="S127" i="6"/>
  <c r="R127" i="6"/>
  <c r="Q127" i="6"/>
  <c r="U126" i="6"/>
  <c r="T126" i="6"/>
  <c r="S126" i="6"/>
  <c r="R126" i="6"/>
  <c r="Q126" i="6"/>
  <c r="U125" i="6"/>
  <c r="T125" i="6"/>
  <c r="S125" i="6"/>
  <c r="R125" i="6"/>
  <c r="Q125" i="6"/>
  <c r="U124" i="6"/>
  <c r="T124" i="6"/>
  <c r="S124" i="6"/>
  <c r="R124" i="6"/>
  <c r="Q124" i="6"/>
  <c r="U123" i="6"/>
  <c r="T123" i="6"/>
  <c r="S123" i="6"/>
  <c r="R123" i="6"/>
  <c r="Q123" i="6"/>
  <c r="U122" i="6"/>
  <c r="T122" i="6"/>
  <c r="S122" i="6"/>
  <c r="R122" i="6"/>
  <c r="Q122" i="6"/>
  <c r="U121" i="6"/>
  <c r="T121" i="6"/>
  <c r="S121" i="6"/>
  <c r="R121" i="6"/>
  <c r="Q121" i="6"/>
  <c r="U120" i="6"/>
  <c r="T120" i="6"/>
  <c r="S120" i="6"/>
  <c r="R120" i="6"/>
  <c r="Q120" i="6"/>
  <c r="U119" i="6"/>
  <c r="T119" i="6"/>
  <c r="S119" i="6"/>
  <c r="R119" i="6"/>
  <c r="Q119" i="6"/>
  <c r="U118" i="6"/>
  <c r="T118" i="6"/>
  <c r="S118" i="6"/>
  <c r="R118" i="6"/>
  <c r="Q118" i="6"/>
  <c r="U112" i="6"/>
  <c r="T112" i="6"/>
  <c r="S112" i="6"/>
  <c r="R112" i="6"/>
  <c r="Q112" i="6"/>
  <c r="U111" i="6"/>
  <c r="T111" i="6"/>
  <c r="S111" i="6"/>
  <c r="R111" i="6"/>
  <c r="Q111" i="6"/>
  <c r="U110" i="6"/>
  <c r="T110" i="6"/>
  <c r="S110" i="6"/>
  <c r="R110" i="6"/>
  <c r="Q110" i="6"/>
  <c r="U109" i="6"/>
  <c r="T109" i="6"/>
  <c r="S109" i="6"/>
  <c r="R109" i="6"/>
  <c r="Q109" i="6"/>
  <c r="U108" i="6"/>
  <c r="T108" i="6"/>
  <c r="S108" i="6"/>
  <c r="R108" i="6"/>
  <c r="Q108" i="6"/>
  <c r="U107" i="6"/>
  <c r="T107" i="6"/>
  <c r="S107" i="6"/>
  <c r="R107" i="6"/>
  <c r="Q107" i="6"/>
  <c r="U106" i="6"/>
  <c r="T106" i="6"/>
  <c r="S106" i="6"/>
  <c r="R106" i="6"/>
  <c r="Q106" i="6"/>
  <c r="U105" i="6"/>
  <c r="T105" i="6"/>
  <c r="S105" i="6"/>
  <c r="R105" i="6"/>
  <c r="Q105" i="6"/>
  <c r="U104" i="6"/>
  <c r="T104" i="6"/>
  <c r="S104" i="6"/>
  <c r="R104" i="6"/>
  <c r="Q104" i="6"/>
  <c r="U103" i="6"/>
  <c r="T103" i="6"/>
  <c r="S103" i="6"/>
  <c r="R103" i="6"/>
  <c r="Q103" i="6"/>
  <c r="U102" i="6"/>
  <c r="T102" i="6"/>
  <c r="S102" i="6"/>
  <c r="R102" i="6"/>
  <c r="Q102" i="6"/>
  <c r="U101" i="6"/>
  <c r="T101" i="6"/>
  <c r="S101" i="6"/>
  <c r="R101" i="6"/>
  <c r="Q101" i="6"/>
  <c r="U100" i="6"/>
  <c r="T100" i="6"/>
  <c r="S100" i="6"/>
  <c r="R100" i="6"/>
  <c r="Q100" i="6"/>
  <c r="U99" i="6"/>
  <c r="T99" i="6"/>
  <c r="S99" i="6"/>
  <c r="R99" i="6"/>
  <c r="Q99" i="6"/>
  <c r="U98" i="6"/>
  <c r="T98" i="6"/>
  <c r="S98" i="6"/>
  <c r="R98" i="6"/>
  <c r="Q98" i="6"/>
  <c r="U97" i="6"/>
  <c r="T97" i="6"/>
  <c r="S97" i="6"/>
  <c r="R97" i="6"/>
  <c r="Q97" i="6"/>
  <c r="U96" i="6"/>
  <c r="T96" i="6"/>
  <c r="S96" i="6"/>
  <c r="R96" i="6"/>
  <c r="Q96" i="6"/>
  <c r="U95" i="6"/>
  <c r="T95" i="6"/>
  <c r="S95" i="6"/>
  <c r="R95" i="6"/>
  <c r="Q95" i="6"/>
  <c r="U94" i="6"/>
  <c r="T94" i="6"/>
  <c r="S94" i="6"/>
  <c r="R94" i="6"/>
  <c r="Q94" i="6"/>
  <c r="U93" i="6"/>
  <c r="T93" i="6"/>
  <c r="S93" i="6"/>
  <c r="R93" i="6"/>
  <c r="Q93" i="6"/>
  <c r="U92" i="6"/>
  <c r="T92" i="6"/>
  <c r="S92" i="6"/>
  <c r="R92" i="6"/>
  <c r="Q92" i="6"/>
  <c r="U91" i="6"/>
  <c r="T91" i="6"/>
  <c r="S91" i="6"/>
  <c r="R91" i="6"/>
  <c r="Q91" i="6"/>
  <c r="U90" i="6"/>
  <c r="T90" i="6"/>
  <c r="S90" i="6"/>
  <c r="R90" i="6"/>
  <c r="Q90" i="6"/>
  <c r="U89" i="6"/>
  <c r="T89" i="6"/>
  <c r="S89" i="6"/>
  <c r="R89" i="6"/>
  <c r="Q89" i="6"/>
  <c r="U88" i="6"/>
  <c r="T88" i="6"/>
  <c r="S88" i="6"/>
  <c r="R88" i="6"/>
  <c r="Q88" i="6"/>
  <c r="U87" i="6"/>
  <c r="T87" i="6"/>
  <c r="S87" i="6"/>
  <c r="R87" i="6"/>
  <c r="Q87" i="6"/>
  <c r="U86" i="6"/>
  <c r="T86" i="6"/>
  <c r="S86" i="6"/>
  <c r="R86" i="6"/>
  <c r="Q86" i="6"/>
  <c r="U85" i="6"/>
  <c r="T85" i="6"/>
  <c r="S85" i="6"/>
  <c r="R85" i="6"/>
  <c r="Q85" i="6"/>
  <c r="U84" i="6"/>
  <c r="T84" i="6"/>
  <c r="S84" i="6"/>
  <c r="R84" i="6"/>
  <c r="Q84" i="6"/>
  <c r="U83" i="6"/>
  <c r="T83" i="6"/>
  <c r="S83" i="6"/>
  <c r="R83" i="6"/>
  <c r="Q83" i="6"/>
  <c r="U82" i="6"/>
  <c r="T82" i="6"/>
  <c r="S82" i="6"/>
  <c r="R82" i="6"/>
  <c r="Q82" i="6"/>
  <c r="U81" i="6"/>
  <c r="T81" i="6"/>
  <c r="S81" i="6"/>
  <c r="R81" i="6"/>
  <c r="Q81" i="6"/>
  <c r="U80" i="6"/>
  <c r="T80" i="6"/>
  <c r="S80" i="6"/>
  <c r="R80" i="6"/>
  <c r="Q80" i="6"/>
  <c r="U79" i="6"/>
  <c r="T79" i="6"/>
  <c r="S79" i="6"/>
  <c r="R79" i="6"/>
  <c r="Q79" i="6"/>
  <c r="U78" i="6"/>
  <c r="T78" i="6"/>
  <c r="S78" i="6"/>
  <c r="R78" i="6"/>
  <c r="Q78" i="6"/>
  <c r="U77" i="6"/>
  <c r="T77" i="6"/>
  <c r="S77" i="6"/>
  <c r="R77" i="6"/>
  <c r="Q77" i="6"/>
  <c r="U76" i="6"/>
  <c r="T76" i="6"/>
  <c r="S76" i="6"/>
  <c r="R76" i="6"/>
  <c r="Q76" i="6"/>
  <c r="U75" i="6"/>
  <c r="T75" i="6"/>
  <c r="S75" i="6"/>
  <c r="R75" i="6"/>
  <c r="Q75" i="6"/>
  <c r="U74" i="6"/>
  <c r="T74" i="6"/>
  <c r="S74" i="6"/>
  <c r="R74" i="6"/>
  <c r="Q74" i="6"/>
  <c r="U73" i="6"/>
  <c r="T73" i="6"/>
  <c r="S73" i="6"/>
  <c r="R73" i="6"/>
  <c r="Q73" i="6"/>
  <c r="U72" i="6"/>
  <c r="T72" i="6"/>
  <c r="S72" i="6"/>
  <c r="R72" i="6"/>
  <c r="Q72" i="6"/>
  <c r="U70" i="6"/>
  <c r="T70" i="6"/>
  <c r="S70" i="6"/>
  <c r="R70" i="6"/>
  <c r="Q70" i="6"/>
  <c r="U69" i="6"/>
  <c r="T69" i="6"/>
  <c r="S69" i="6"/>
  <c r="R69" i="6"/>
  <c r="Q69" i="6"/>
  <c r="U68" i="6"/>
  <c r="T68" i="6"/>
  <c r="S68" i="6"/>
  <c r="R68" i="6"/>
  <c r="Q68" i="6"/>
  <c r="U67" i="6"/>
  <c r="T67" i="6"/>
  <c r="S67" i="6"/>
  <c r="R67" i="6"/>
  <c r="Q67" i="6"/>
  <c r="U66" i="6"/>
  <c r="T66" i="6"/>
  <c r="S66" i="6"/>
  <c r="R66" i="6"/>
  <c r="Q66" i="6"/>
  <c r="U65" i="6"/>
  <c r="T65" i="6"/>
  <c r="S65" i="6"/>
  <c r="R65" i="6"/>
  <c r="Q65" i="6"/>
  <c r="U64" i="6"/>
  <c r="T64" i="6"/>
  <c r="S64" i="6"/>
  <c r="R64" i="6"/>
  <c r="Q64" i="6"/>
  <c r="U63" i="6"/>
  <c r="T63" i="6"/>
  <c r="S63" i="6"/>
  <c r="R63" i="6"/>
  <c r="Q63" i="6"/>
  <c r="U62" i="6"/>
  <c r="T62" i="6"/>
  <c r="S62" i="6"/>
  <c r="R62" i="6"/>
  <c r="Q62" i="6"/>
  <c r="U61" i="6"/>
  <c r="T61" i="6"/>
  <c r="S61" i="6"/>
  <c r="R61" i="6"/>
  <c r="Q61" i="6"/>
  <c r="U60" i="6"/>
  <c r="T60" i="6"/>
  <c r="S60" i="6"/>
  <c r="R60" i="6"/>
  <c r="Q60" i="6"/>
  <c r="U59" i="6"/>
  <c r="T59" i="6"/>
  <c r="S59" i="6"/>
  <c r="R59" i="6"/>
  <c r="Q59" i="6"/>
  <c r="U58" i="6"/>
  <c r="T58" i="6"/>
  <c r="S58" i="6"/>
  <c r="R58" i="6"/>
  <c r="Q58" i="6"/>
  <c r="U57" i="6"/>
  <c r="T57" i="6"/>
  <c r="S57" i="6"/>
  <c r="R57" i="6"/>
  <c r="Q57" i="6"/>
  <c r="U56" i="6"/>
  <c r="T56" i="6"/>
  <c r="S56" i="6"/>
  <c r="R56" i="6"/>
  <c r="Q56" i="6"/>
  <c r="U55" i="6"/>
  <c r="T55" i="6"/>
  <c r="S55" i="6"/>
  <c r="R55" i="6"/>
  <c r="Q55" i="6"/>
  <c r="U54" i="6"/>
  <c r="T54" i="6"/>
  <c r="S54" i="6"/>
  <c r="R54" i="6"/>
  <c r="Q54" i="6"/>
  <c r="U53" i="6"/>
  <c r="T53" i="6"/>
  <c r="S53" i="6"/>
  <c r="R53" i="6"/>
  <c r="Q53" i="6"/>
  <c r="U52" i="6"/>
  <c r="T52" i="6"/>
  <c r="S52" i="6"/>
  <c r="R52" i="6"/>
  <c r="Q52" i="6"/>
  <c r="U51" i="6"/>
  <c r="T51" i="6"/>
  <c r="S51" i="6"/>
  <c r="R51" i="6"/>
  <c r="Q51" i="6"/>
  <c r="U50" i="6"/>
  <c r="T50" i="6"/>
  <c r="S50" i="6"/>
  <c r="R50" i="6"/>
  <c r="Q50" i="6"/>
  <c r="U49" i="6"/>
  <c r="T49" i="6"/>
  <c r="S49" i="6"/>
  <c r="R49" i="6"/>
  <c r="Q49" i="6"/>
  <c r="U48" i="6"/>
  <c r="T48" i="6"/>
  <c r="S48" i="6"/>
  <c r="R48" i="6"/>
  <c r="Q48" i="6"/>
  <c r="U47" i="6"/>
  <c r="T47" i="6"/>
  <c r="S47" i="6"/>
  <c r="R47" i="6"/>
  <c r="Q47" i="6"/>
  <c r="U46" i="6"/>
  <c r="T46" i="6"/>
  <c r="S46" i="6"/>
  <c r="R46" i="6"/>
  <c r="Q46" i="6"/>
  <c r="U45" i="6"/>
  <c r="T45" i="6"/>
  <c r="S45" i="6"/>
  <c r="R45" i="6"/>
  <c r="Q45" i="6"/>
  <c r="U44" i="6"/>
  <c r="U400" i="6" s="1"/>
  <c r="T44" i="6"/>
  <c r="T400" i="6" s="1"/>
  <c r="S44" i="6"/>
  <c r="S400" i="6" s="1"/>
  <c r="R44" i="6"/>
  <c r="Q44" i="6"/>
  <c r="R43" i="6"/>
  <c r="Q43" i="6"/>
  <c r="R42" i="6"/>
  <c r="Q42" i="6"/>
  <c r="R41" i="6"/>
  <c r="Q41" i="6"/>
  <c r="R40" i="6"/>
  <c r="Q40" i="6"/>
  <c r="R39" i="6"/>
  <c r="Q39" i="6"/>
  <c r="R38" i="6"/>
  <c r="Q38" i="6"/>
  <c r="R37" i="6"/>
  <c r="Q37" i="6"/>
  <c r="R36" i="6"/>
  <c r="Q36" i="6"/>
  <c r="R35" i="6"/>
  <c r="Q35" i="6"/>
  <c r="R34" i="6"/>
  <c r="Q34" i="6"/>
  <c r="R33" i="6"/>
  <c r="Q33" i="6"/>
  <c r="R32" i="6"/>
  <c r="Q32" i="6"/>
  <c r="R31" i="6"/>
  <c r="Q31" i="6"/>
  <c r="R30" i="6"/>
  <c r="Q30" i="6"/>
  <c r="R29" i="6"/>
  <c r="Q29" i="6"/>
  <c r="R28" i="6"/>
  <c r="R400" i="6" s="1"/>
  <c r="Q28" i="6"/>
  <c r="Q400" i="6" s="1"/>
  <c r="C29" i="3"/>
  <c r="C28" i="2"/>
  <c r="C28" i="1"/>
  <c r="F1" i="6"/>
  <c r="AC14" i="1" l="1"/>
  <c r="AC25" i="1"/>
  <c r="AC36" i="1"/>
  <c r="V36" i="1"/>
  <c r="V25" i="1"/>
  <c r="V14" i="1"/>
  <c r="H14" i="1"/>
  <c r="O14" i="1"/>
  <c r="O25" i="1"/>
  <c r="H25" i="1"/>
  <c r="H36" i="1"/>
  <c r="O36" i="1"/>
  <c r="O25" i="2"/>
  <c r="H25" i="2"/>
  <c r="H14" i="2"/>
  <c r="O14" i="2"/>
  <c r="V14" i="2"/>
  <c r="AC14" i="2"/>
  <c r="H36" i="2"/>
  <c r="O36" i="2"/>
  <c r="V36" i="2"/>
  <c r="AC36" i="2"/>
  <c r="AC25" i="2"/>
  <c r="V25" i="2"/>
  <c r="AE3" i="6" l="1"/>
  <c r="AE4" i="6" s="1"/>
  <c r="AE5" i="6" s="1"/>
  <c r="AE6" i="6" s="1"/>
  <c r="AE7" i="6" s="1"/>
  <c r="AE8" i="6" s="1"/>
  <c r="AE9" i="6" s="1"/>
  <c r="AE10" i="6" s="1"/>
  <c r="AE11" i="6" s="1"/>
  <c r="AE12" i="6" s="1"/>
  <c r="AE13" i="6" s="1"/>
  <c r="AE14" i="6" s="1"/>
  <c r="AE15" i="6" s="1"/>
  <c r="AE16" i="6" s="1"/>
  <c r="AE17" i="6" s="1"/>
  <c r="AE18" i="6" s="1"/>
  <c r="AE19" i="6" s="1"/>
  <c r="AE20" i="6" s="1"/>
  <c r="AE21" i="6" s="1"/>
  <c r="AE22" i="6" s="1"/>
  <c r="AE23" i="6" s="1"/>
  <c r="AE24" i="6" s="1"/>
  <c r="AE25" i="6" s="1"/>
  <c r="AE26" i="6" s="1"/>
  <c r="AF3" i="6"/>
  <c r="AF4" i="6" s="1"/>
  <c r="AF5" i="6" s="1"/>
  <c r="AF6" i="6" s="1"/>
  <c r="AF7" i="6" s="1"/>
  <c r="AF8" i="6" s="1"/>
  <c r="AF9" i="6" s="1"/>
  <c r="AF10" i="6" s="1"/>
  <c r="AF11" i="6" s="1"/>
  <c r="AF12" i="6" s="1"/>
  <c r="AF13" i="6" s="1"/>
  <c r="AF14" i="6" s="1"/>
  <c r="AF15" i="6" s="1"/>
  <c r="AF16" i="6" s="1"/>
  <c r="AF17" i="6" s="1"/>
  <c r="AF18" i="6" s="1"/>
  <c r="AF19" i="6" s="1"/>
  <c r="AF20" i="6" s="1"/>
  <c r="AF21" i="6" s="1"/>
  <c r="AF22" i="6" s="1"/>
  <c r="AF23" i="6" s="1"/>
  <c r="AF24" i="6" s="1"/>
  <c r="AF25" i="6" s="1"/>
  <c r="AF26" i="6" s="1"/>
  <c r="AG3" i="6"/>
  <c r="AG4" i="6" s="1"/>
  <c r="AG5" i="6" s="1"/>
  <c r="AG6" i="6" s="1"/>
  <c r="AG7" i="6" s="1"/>
  <c r="AG8" i="6" s="1"/>
  <c r="AG9" i="6" s="1"/>
  <c r="AG10" i="6" s="1"/>
  <c r="AG11" i="6" s="1"/>
  <c r="AG12" i="6" s="1"/>
  <c r="AG13" i="6" s="1"/>
  <c r="AG14" i="6" s="1"/>
  <c r="AG15" i="6" s="1"/>
  <c r="AG16" i="6" s="1"/>
  <c r="AG17" i="6" s="1"/>
  <c r="AG18" i="6" s="1"/>
  <c r="AG19" i="6" s="1"/>
  <c r="AG20" i="6" s="1"/>
  <c r="AG21" i="6" s="1"/>
  <c r="AG22" i="6" s="1"/>
  <c r="AG23" i="6" s="1"/>
  <c r="AG24" i="6" s="1"/>
  <c r="AG25" i="6" s="1"/>
  <c r="AG26" i="6" s="1"/>
  <c r="AG27" i="6" s="1"/>
  <c r="AG28" i="6" s="1"/>
  <c r="AG29" i="6" s="1"/>
  <c r="AG30" i="6" s="1"/>
  <c r="AG31" i="6" s="1"/>
  <c r="AG32" i="6" s="1"/>
  <c r="AG33" i="6" s="1"/>
  <c r="AG34" i="6" s="1"/>
  <c r="AG35" i="6" s="1"/>
  <c r="AG36" i="6" s="1"/>
  <c r="AG37" i="6" s="1"/>
  <c r="AG38" i="6" s="1"/>
  <c r="AG39" i="6" s="1"/>
  <c r="AG40" i="6" s="1"/>
  <c r="AG41" i="6" s="1"/>
  <c r="AG42" i="6" s="1"/>
  <c r="AG43" i="6" s="1"/>
  <c r="AH3" i="6"/>
  <c r="AH4" i="6" s="1"/>
  <c r="AH5" i="6" s="1"/>
  <c r="AH6" i="6" s="1"/>
  <c r="AH7" i="6" s="1"/>
  <c r="AH8" i="6" s="1"/>
  <c r="AH9" i="6" s="1"/>
  <c r="AH10" i="6" s="1"/>
  <c r="AH11" i="6" s="1"/>
  <c r="AH12" i="6" s="1"/>
  <c r="AH13" i="6" s="1"/>
  <c r="AH14" i="6" s="1"/>
  <c r="AH15" i="6" s="1"/>
  <c r="AH16" i="6" s="1"/>
  <c r="AH17" i="6" s="1"/>
  <c r="AH18" i="6" s="1"/>
  <c r="AH19" i="6" s="1"/>
  <c r="AH20" i="6" s="1"/>
  <c r="AH21" i="6" s="1"/>
  <c r="AH22" i="6" s="1"/>
  <c r="AH23" i="6" s="1"/>
  <c r="AH24" i="6" s="1"/>
  <c r="AH25" i="6" s="1"/>
  <c r="AH26" i="6" s="1"/>
  <c r="AH27" i="6" s="1"/>
  <c r="AH28" i="6" s="1"/>
  <c r="AH29" i="6" s="1"/>
  <c r="AH30" i="6" s="1"/>
  <c r="AH31" i="6" s="1"/>
  <c r="AH32" i="6" s="1"/>
  <c r="AH33" i="6" s="1"/>
  <c r="AH34" i="6" s="1"/>
  <c r="AH35" i="6" s="1"/>
  <c r="AH36" i="6" s="1"/>
  <c r="AH37" i="6" s="1"/>
  <c r="AH38" i="6" s="1"/>
  <c r="AH39" i="6" s="1"/>
  <c r="AH40" i="6" s="1"/>
  <c r="AH41" i="6" s="1"/>
  <c r="AH42" i="6" s="1"/>
  <c r="AH43" i="6" s="1"/>
  <c r="AI3" i="6"/>
  <c r="AI4" i="6" s="1"/>
  <c r="AI5" i="6" s="1"/>
  <c r="AI6" i="6" s="1"/>
  <c r="AI7" i="6" s="1"/>
  <c r="AI8" i="6" s="1"/>
  <c r="AI9" i="6" s="1"/>
  <c r="AI10" i="6" s="1"/>
  <c r="AI11" i="6" s="1"/>
  <c r="AI12" i="6" s="1"/>
  <c r="AI13" i="6" s="1"/>
  <c r="AI14" i="6" s="1"/>
  <c r="AI15" i="6" s="1"/>
  <c r="AI16" i="6" s="1"/>
  <c r="AI17" i="6" s="1"/>
  <c r="AI18" i="6" s="1"/>
  <c r="AI19" i="6" s="1"/>
  <c r="AI20" i="6" s="1"/>
  <c r="AI21" i="6" s="1"/>
  <c r="AI22" i="6" s="1"/>
  <c r="AI23" i="6" s="1"/>
  <c r="AI24" i="6" s="1"/>
  <c r="AI25" i="6" s="1"/>
  <c r="AI26" i="6" s="1"/>
  <c r="AI27" i="6" s="1"/>
  <c r="AI28" i="6" s="1"/>
  <c r="AI29" i="6" s="1"/>
  <c r="AI30" i="6" s="1"/>
  <c r="AI31" i="6" s="1"/>
  <c r="AI32" i="6" s="1"/>
  <c r="AI33" i="6" s="1"/>
  <c r="AI34" i="6" s="1"/>
  <c r="AI35" i="6" s="1"/>
  <c r="AI36" i="6" s="1"/>
  <c r="AI37" i="6" s="1"/>
  <c r="AI38" i="6" s="1"/>
  <c r="AI39" i="6" s="1"/>
  <c r="AI40" i="6" s="1"/>
  <c r="AI41" i="6" s="1"/>
  <c r="AI42" i="6" s="1"/>
  <c r="AI43" i="6" s="1"/>
  <c r="D1" i="2" l="1"/>
  <c r="P399" i="6" l="1"/>
  <c r="H10" i="6"/>
  <c r="G10" i="6"/>
  <c r="D14" i="6"/>
  <c r="V3" i="6"/>
  <c r="V4" i="6" s="1"/>
  <c r="V5" i="6" s="1"/>
  <c r="W5" i="6" s="1"/>
  <c r="D7" i="6" l="1"/>
  <c r="D8" i="6"/>
  <c r="K17" i="1" s="1"/>
  <c r="W3" i="6"/>
  <c r="W4" i="6"/>
  <c r="V6" i="6"/>
  <c r="D15" i="6"/>
  <c r="D11" i="6"/>
  <c r="D9" i="6"/>
  <c r="D5" i="6"/>
  <c r="D16" i="6"/>
  <c r="D12" i="6"/>
  <c r="D10" i="6"/>
  <c r="D6" i="6"/>
  <c r="AD3" i="6"/>
  <c r="AD4" i="6" s="1"/>
  <c r="AD5" i="6" s="1"/>
  <c r="AD6" i="6" s="1"/>
  <c r="AD7" i="6" s="1"/>
  <c r="AD8" i="6" s="1"/>
  <c r="AD9" i="6" s="1"/>
  <c r="AD10" i="6" s="1"/>
  <c r="AD11" i="6" s="1"/>
  <c r="AD12" i="6" s="1"/>
  <c r="AD13" i="6" s="1"/>
  <c r="AD14" i="6" s="1"/>
  <c r="AD15" i="6" s="1"/>
  <c r="AD16" i="6" s="1"/>
  <c r="AD17" i="6" s="1"/>
  <c r="AD18" i="6" s="1"/>
  <c r="AD19" i="6" s="1"/>
  <c r="AD20" i="6" s="1"/>
  <c r="AD21" i="6" s="1"/>
  <c r="AD22" i="6" s="1"/>
  <c r="AD23" i="6" s="1"/>
  <c r="AD24" i="6" s="1"/>
  <c r="AD25" i="6" s="1"/>
  <c r="AD26" i="6" s="1"/>
  <c r="AD27" i="6" s="1"/>
  <c r="AD28" i="6" s="1"/>
  <c r="AD29" i="6" s="1"/>
  <c r="AD30" i="6" s="1"/>
  <c r="AD31" i="6" s="1"/>
  <c r="AD32" i="6" s="1"/>
  <c r="AD33" i="6" s="1"/>
  <c r="AD34" i="6" s="1"/>
  <c r="AD35" i="6" s="1"/>
  <c r="AD36" i="6" s="1"/>
  <c r="AD37" i="6" s="1"/>
  <c r="AD38" i="6" s="1"/>
  <c r="AD39" i="6" s="1"/>
  <c r="AD40" i="6" s="1"/>
  <c r="AD41" i="6" s="1"/>
  <c r="AD42" i="6" s="1"/>
  <c r="AD43" i="6" s="1"/>
  <c r="AD44" i="6" s="1"/>
  <c r="AD45" i="6" s="1"/>
  <c r="AD46" i="6" s="1"/>
  <c r="AD47" i="6" s="1"/>
  <c r="AD48" i="6" s="1"/>
  <c r="AD49" i="6" s="1"/>
  <c r="AD50" i="6" s="1"/>
  <c r="AD51" i="6" s="1"/>
  <c r="AD52" i="6" s="1"/>
  <c r="AD53" i="6" s="1"/>
  <c r="AD54" i="6" s="1"/>
  <c r="AD55" i="6" s="1"/>
  <c r="AD56" i="6" s="1"/>
  <c r="AD57" i="6" s="1"/>
  <c r="AD58" i="6" s="1"/>
  <c r="AD59" i="6" s="1"/>
  <c r="AD60" i="6" s="1"/>
  <c r="AD61" i="6" s="1"/>
  <c r="AD62" i="6" s="1"/>
  <c r="AD63" i="6" s="1"/>
  <c r="AD64" i="6" s="1"/>
  <c r="AD65" i="6" s="1"/>
  <c r="AD66" i="6" s="1"/>
  <c r="AD67" i="6" s="1"/>
  <c r="AD68" i="6" s="1"/>
  <c r="AD69" i="6" s="1"/>
  <c r="AD70" i="6" s="1"/>
  <c r="AD71" i="6" s="1"/>
  <c r="AD72" i="6" s="1"/>
  <c r="AD73" i="6" s="1"/>
  <c r="AD74" i="6" s="1"/>
  <c r="AD75" i="6" s="1"/>
  <c r="AD76" i="6" s="1"/>
  <c r="AD77" i="6" s="1"/>
  <c r="AD78" i="6" s="1"/>
  <c r="AD79" i="6" s="1"/>
  <c r="AD80" i="6" s="1"/>
  <c r="AD81" i="6" s="1"/>
  <c r="AD82" i="6" s="1"/>
  <c r="AD83" i="6" s="1"/>
  <c r="AD84" i="6" s="1"/>
  <c r="AD85" i="6" s="1"/>
  <c r="AD86" i="6" s="1"/>
  <c r="AD87" i="6" s="1"/>
  <c r="AD88" i="6" s="1"/>
  <c r="AD89" i="6" s="1"/>
  <c r="AD90" i="6" s="1"/>
  <c r="AD91" i="6" s="1"/>
  <c r="AD92" i="6" s="1"/>
  <c r="AD93" i="6" s="1"/>
  <c r="AD94" i="6" s="1"/>
  <c r="AD95" i="6" s="1"/>
  <c r="AD96" i="6" s="1"/>
  <c r="AD97" i="6" s="1"/>
  <c r="AD98" i="6" s="1"/>
  <c r="AD99" i="6" s="1"/>
  <c r="AD100" i="6" s="1"/>
  <c r="AD101" i="6" s="1"/>
  <c r="AD102" i="6" s="1"/>
  <c r="AD103" i="6" s="1"/>
  <c r="AD104" i="6" s="1"/>
  <c r="AD105" i="6" s="1"/>
  <c r="AD106" i="6" s="1"/>
  <c r="AD107" i="6" s="1"/>
  <c r="AD108" i="6" s="1"/>
  <c r="AD109" i="6" s="1"/>
  <c r="AD110" i="6" s="1"/>
  <c r="AD111" i="6" s="1"/>
  <c r="AD112" i="6" s="1"/>
  <c r="AD113" i="6" s="1"/>
  <c r="AD114" i="6" s="1"/>
  <c r="AD115" i="6" s="1"/>
  <c r="AD116" i="6" s="1"/>
  <c r="AD117" i="6" s="1"/>
  <c r="AD118" i="6" s="1"/>
  <c r="AD119" i="6" s="1"/>
  <c r="AD120" i="6" s="1"/>
  <c r="AD121" i="6" s="1"/>
  <c r="AD122" i="6" s="1"/>
  <c r="AD123" i="6" s="1"/>
  <c r="AD124" i="6" s="1"/>
  <c r="AD125" i="6" s="1"/>
  <c r="AD126" i="6" s="1"/>
  <c r="AD127" i="6" s="1"/>
  <c r="AD128" i="6" s="1"/>
  <c r="AD129" i="6" s="1"/>
  <c r="AD130" i="6" s="1"/>
  <c r="AD131" i="6" s="1"/>
  <c r="AD132" i="6" s="1"/>
  <c r="AD133" i="6" s="1"/>
  <c r="AD134" i="6" s="1"/>
  <c r="AD135" i="6" s="1"/>
  <c r="AD136" i="6" s="1"/>
  <c r="AD137" i="6" s="1"/>
  <c r="AD138" i="6" s="1"/>
  <c r="AD139" i="6" s="1"/>
  <c r="AD140" i="6" s="1"/>
  <c r="AD141" i="6" s="1"/>
  <c r="AD142" i="6" s="1"/>
  <c r="AD143" i="6" s="1"/>
  <c r="AD144" i="6" s="1"/>
  <c r="AD145" i="6" s="1"/>
  <c r="AD146" i="6" s="1"/>
  <c r="AD147" i="6" s="1"/>
  <c r="AD148" i="6" s="1"/>
  <c r="AD149" i="6" s="1"/>
  <c r="AD150" i="6" s="1"/>
  <c r="AD151" i="6" s="1"/>
  <c r="AD152" i="6" s="1"/>
  <c r="AD153" i="6" s="1"/>
  <c r="AD154" i="6" s="1"/>
  <c r="AD155" i="6" s="1"/>
  <c r="AD156" i="6" s="1"/>
  <c r="AD157" i="6" s="1"/>
  <c r="AD158" i="6" s="1"/>
  <c r="AD159" i="6" s="1"/>
  <c r="AD160" i="6" s="1"/>
  <c r="AD161" i="6" s="1"/>
  <c r="AD162" i="6" s="1"/>
  <c r="AD163" i="6" s="1"/>
  <c r="AD164" i="6" s="1"/>
  <c r="AD165" i="6" s="1"/>
  <c r="AD166" i="6" s="1"/>
  <c r="AD167" i="6" s="1"/>
  <c r="AD168" i="6" s="1"/>
  <c r="AD169" i="6" s="1"/>
  <c r="AD170" i="6" s="1"/>
  <c r="AD171" i="6" s="1"/>
  <c r="AD172" i="6" s="1"/>
  <c r="AD173" i="6" s="1"/>
  <c r="AD174" i="6" s="1"/>
  <c r="AD175" i="6" s="1"/>
  <c r="AD176" i="6" s="1"/>
  <c r="AD177" i="6" s="1"/>
  <c r="AD178" i="6" s="1"/>
  <c r="AD179" i="6" s="1"/>
  <c r="AD180" i="6" s="1"/>
  <c r="AD181" i="6" s="1"/>
  <c r="AD182" i="6" s="1"/>
  <c r="AD183" i="6" s="1"/>
  <c r="AD184" i="6" s="1"/>
  <c r="AD185" i="6" s="1"/>
  <c r="AD186" i="6" s="1"/>
  <c r="AD187" i="6" s="1"/>
  <c r="AD188" i="6" s="1"/>
  <c r="AD189" i="6" s="1"/>
  <c r="AD190" i="6" s="1"/>
  <c r="AD191" i="6" s="1"/>
  <c r="AD192" i="6" s="1"/>
  <c r="AD193" i="6" s="1"/>
  <c r="AD194" i="6" s="1"/>
  <c r="AD195" i="6" s="1"/>
  <c r="AD196" i="6" s="1"/>
  <c r="AD197" i="6" s="1"/>
  <c r="AD198" i="6" s="1"/>
  <c r="AD199" i="6" s="1"/>
  <c r="AD200" i="6" s="1"/>
  <c r="AD201" i="6" s="1"/>
  <c r="AD202" i="6" s="1"/>
  <c r="AD203" i="6" s="1"/>
  <c r="AD204" i="6" s="1"/>
  <c r="AD205" i="6" s="1"/>
  <c r="AD206" i="6" s="1"/>
  <c r="AD207" i="6" s="1"/>
  <c r="AD208" i="6" s="1"/>
  <c r="AD209" i="6" s="1"/>
  <c r="AD210" i="6" s="1"/>
  <c r="AD211" i="6" s="1"/>
  <c r="AD212" i="6" s="1"/>
  <c r="AD213" i="6" s="1"/>
  <c r="AD214" i="6" s="1"/>
  <c r="AD215" i="6" s="1"/>
  <c r="AD216" i="6" s="1"/>
  <c r="AD217" i="6" s="1"/>
  <c r="AD218" i="6" s="1"/>
  <c r="AD219" i="6" s="1"/>
  <c r="AD220" i="6" s="1"/>
  <c r="AD221" i="6" s="1"/>
  <c r="AD222" i="6" s="1"/>
  <c r="AD223" i="6" s="1"/>
  <c r="AD224" i="6" s="1"/>
  <c r="AD225" i="6" s="1"/>
  <c r="AD226" i="6" s="1"/>
  <c r="AD227" i="6" s="1"/>
  <c r="AD228" i="6" s="1"/>
  <c r="AD229" i="6" s="1"/>
  <c r="AD230" i="6" s="1"/>
  <c r="AD231" i="6" s="1"/>
  <c r="AD232" i="6" s="1"/>
  <c r="AD233" i="6" s="1"/>
  <c r="AD234" i="6" s="1"/>
  <c r="AD235" i="6" s="1"/>
  <c r="AD236" i="6" s="1"/>
  <c r="AD237" i="6" s="1"/>
  <c r="AD238" i="6" s="1"/>
  <c r="AD239" i="6" s="1"/>
  <c r="AD240" i="6" s="1"/>
  <c r="AD241" i="6" s="1"/>
  <c r="AD242" i="6" s="1"/>
  <c r="AD243" i="6" s="1"/>
  <c r="AD244" i="6" s="1"/>
  <c r="AD245" i="6" s="1"/>
  <c r="AD246" i="6" s="1"/>
  <c r="AD247" i="6" s="1"/>
  <c r="AD248" i="6" s="1"/>
  <c r="AD249" i="6" s="1"/>
  <c r="AD250" i="6" s="1"/>
  <c r="AD251" i="6" s="1"/>
  <c r="AD252" i="6" s="1"/>
  <c r="AD253" i="6" s="1"/>
  <c r="AD254" i="6" s="1"/>
  <c r="AD255" i="6" s="1"/>
  <c r="AD256" i="6" s="1"/>
  <c r="AD257" i="6" s="1"/>
  <c r="AD258" i="6" s="1"/>
  <c r="AD259" i="6" s="1"/>
  <c r="AD260" i="6" s="1"/>
  <c r="AD261" i="6" s="1"/>
  <c r="AD262" i="6" s="1"/>
  <c r="AD263" i="6" s="1"/>
  <c r="AD264" i="6" s="1"/>
  <c r="AD265" i="6" s="1"/>
  <c r="AD266" i="6" s="1"/>
  <c r="AD267" i="6" s="1"/>
  <c r="AD268" i="6" s="1"/>
  <c r="AD269" i="6" s="1"/>
  <c r="AD270" i="6" s="1"/>
  <c r="AD271" i="6" s="1"/>
  <c r="AD272" i="6" s="1"/>
  <c r="AD273" i="6" s="1"/>
  <c r="AD274" i="6" s="1"/>
  <c r="AD275" i="6" s="1"/>
  <c r="AD276" i="6" s="1"/>
  <c r="AD277" i="6" s="1"/>
  <c r="AD278" i="6" s="1"/>
  <c r="AD279" i="6" s="1"/>
  <c r="AD280" i="6" s="1"/>
  <c r="AD281" i="6" s="1"/>
  <c r="AD282" i="6" s="1"/>
  <c r="AD283" i="6" s="1"/>
  <c r="AD284" i="6" s="1"/>
  <c r="AD285" i="6" s="1"/>
  <c r="AD286" i="6" s="1"/>
  <c r="AD287" i="6" s="1"/>
  <c r="AD288" i="6" s="1"/>
  <c r="AD289" i="6" s="1"/>
  <c r="AD290" i="6" s="1"/>
  <c r="AD291" i="6" s="1"/>
  <c r="AD292" i="6" s="1"/>
  <c r="AD293" i="6" s="1"/>
  <c r="AD294" i="6" s="1"/>
  <c r="AD295" i="6" s="1"/>
  <c r="AD296" i="6" s="1"/>
  <c r="AD297" i="6" s="1"/>
  <c r="AD298" i="6" s="1"/>
  <c r="AD299" i="6" s="1"/>
  <c r="AD300" i="6" s="1"/>
  <c r="AD301" i="6" s="1"/>
  <c r="AD302" i="6" s="1"/>
  <c r="AD303" i="6" s="1"/>
  <c r="AD304" i="6" s="1"/>
  <c r="AD305" i="6" s="1"/>
  <c r="AD306" i="6" s="1"/>
  <c r="AD307" i="6" s="1"/>
  <c r="AD308" i="6" s="1"/>
  <c r="AD309" i="6" s="1"/>
  <c r="AD310" i="6" s="1"/>
  <c r="AD311" i="6" s="1"/>
  <c r="AD312" i="6" s="1"/>
  <c r="AD313" i="6" s="1"/>
  <c r="AD314" i="6" s="1"/>
  <c r="AD315" i="6" s="1"/>
  <c r="AD316" i="6" s="1"/>
  <c r="AD317" i="6" s="1"/>
  <c r="AD318" i="6" s="1"/>
  <c r="AD319" i="6" s="1"/>
  <c r="AD320" i="6" s="1"/>
  <c r="AD321" i="6" s="1"/>
  <c r="AD322" i="6" s="1"/>
  <c r="AD323" i="6" s="1"/>
  <c r="AD324" i="6" s="1"/>
  <c r="AD325" i="6" s="1"/>
  <c r="AD326" i="6" s="1"/>
  <c r="AD327" i="6" s="1"/>
  <c r="AD328" i="6" s="1"/>
  <c r="AD329" i="6" s="1"/>
  <c r="AD330" i="6" s="1"/>
  <c r="AD331" i="6" s="1"/>
  <c r="AD332" i="6" s="1"/>
  <c r="AD333" i="6" s="1"/>
  <c r="AD334" i="6" s="1"/>
  <c r="AD335" i="6" s="1"/>
  <c r="AD336" i="6" s="1"/>
  <c r="AD337" i="6" s="1"/>
  <c r="AD338" i="6" s="1"/>
  <c r="AD339" i="6" s="1"/>
  <c r="AD340" i="6" s="1"/>
  <c r="AD341" i="6" s="1"/>
  <c r="AD342" i="6" s="1"/>
  <c r="AD343" i="6" s="1"/>
  <c r="AD344" i="6" s="1"/>
  <c r="AD345" i="6" s="1"/>
  <c r="AD346" i="6" s="1"/>
  <c r="AD347" i="6" s="1"/>
  <c r="AD348" i="6" s="1"/>
  <c r="AD349" i="6" s="1"/>
  <c r="AD350" i="6" s="1"/>
  <c r="AD351" i="6" s="1"/>
  <c r="AD352" i="6" s="1"/>
  <c r="AD353" i="6" s="1"/>
  <c r="AD354" i="6" s="1"/>
  <c r="AD355" i="6" s="1"/>
  <c r="AD356" i="6" s="1"/>
  <c r="AD357" i="6" s="1"/>
  <c r="AD358" i="6" s="1"/>
  <c r="AD359" i="6" s="1"/>
  <c r="AD360" i="6" s="1"/>
  <c r="AD361" i="6" s="1"/>
  <c r="AD362" i="6" s="1"/>
  <c r="AD363" i="6" s="1"/>
  <c r="AD364" i="6" s="1"/>
  <c r="AD365" i="6" s="1"/>
  <c r="AD366" i="6" s="1"/>
  <c r="AD367" i="6" s="1"/>
  <c r="AD368" i="6" s="1"/>
  <c r="AD369" i="6" s="1"/>
  <c r="AD370" i="6" s="1"/>
  <c r="AD371" i="6" s="1"/>
  <c r="AD372" i="6" s="1"/>
  <c r="AD373" i="6" s="1"/>
  <c r="AD374" i="6" s="1"/>
  <c r="AD375" i="6" s="1"/>
  <c r="AD376" i="6" s="1"/>
  <c r="AD377" i="6" s="1"/>
  <c r="AD378" i="6" s="1"/>
  <c r="AD379" i="6" s="1"/>
  <c r="AD380" i="6" s="1"/>
  <c r="AD381" i="6" s="1"/>
  <c r="AD382" i="6" s="1"/>
  <c r="AD383" i="6" s="1"/>
  <c r="AD384" i="6" s="1"/>
  <c r="AD385" i="6" s="1"/>
  <c r="AD386" i="6" s="1"/>
  <c r="AD387" i="6" s="1"/>
  <c r="AD388" i="6" s="1"/>
  <c r="AD389" i="6" s="1"/>
  <c r="AD390" i="6" s="1"/>
  <c r="AD391" i="6" s="1"/>
  <c r="AD392" i="6" s="1"/>
  <c r="AD393" i="6" s="1"/>
  <c r="AD394" i="6" s="1"/>
  <c r="AD395" i="6" s="1"/>
  <c r="AD396" i="6" s="1"/>
  <c r="AD397" i="6" s="1"/>
  <c r="AD398" i="6" s="1"/>
  <c r="O3" i="6"/>
  <c r="D4" i="6"/>
  <c r="D13" i="6"/>
  <c r="U1" i="1"/>
  <c r="U1" i="2"/>
  <c r="W6" i="6" l="1"/>
  <c r="V7" i="6"/>
  <c r="P3" i="6"/>
  <c r="O4" i="6"/>
  <c r="AB8" i="3"/>
  <c r="Z8" i="3"/>
  <c r="X8" i="3"/>
  <c r="Y6" i="3"/>
  <c r="X6" i="3"/>
  <c r="Q12" i="3"/>
  <c r="U6" i="3"/>
  <c r="S6" i="3"/>
  <c r="Q6" i="3"/>
  <c r="Q23" i="3"/>
  <c r="U17" i="3"/>
  <c r="S17" i="3"/>
  <c r="R17" i="3"/>
  <c r="Q17" i="3"/>
  <c r="X25" i="3"/>
  <c r="Z17" i="3"/>
  <c r="X17" i="3"/>
  <c r="AB30" i="3"/>
  <c r="AA30" i="3"/>
  <c r="Z30" i="3"/>
  <c r="Y30" i="3"/>
  <c r="AB32" i="3"/>
  <c r="AA32" i="3"/>
  <c r="Z32" i="3"/>
  <c r="Y32" i="3"/>
  <c r="X32" i="3"/>
  <c r="AB34" i="3"/>
  <c r="AA34" i="3"/>
  <c r="Z34" i="3"/>
  <c r="Y34" i="3"/>
  <c r="X34" i="3"/>
  <c r="AB36" i="3"/>
  <c r="AA36" i="3"/>
  <c r="Z36" i="3"/>
  <c r="Y36" i="3"/>
  <c r="X36" i="3"/>
  <c r="U28" i="3"/>
  <c r="U36" i="3"/>
  <c r="T36" i="3"/>
  <c r="S36" i="3"/>
  <c r="N36" i="3"/>
  <c r="M36" i="3"/>
  <c r="L36" i="3"/>
  <c r="K36" i="3"/>
  <c r="J36" i="3"/>
  <c r="N34" i="3"/>
  <c r="M34" i="3"/>
  <c r="L34" i="3"/>
  <c r="J34" i="3"/>
  <c r="N25" i="3"/>
  <c r="M25" i="3"/>
  <c r="L25" i="3"/>
  <c r="L17" i="3"/>
  <c r="J17" i="3"/>
  <c r="N14" i="3"/>
  <c r="J14" i="3"/>
  <c r="N12" i="3"/>
  <c r="L12" i="3"/>
  <c r="J12" i="3"/>
  <c r="J6" i="3"/>
  <c r="G36" i="3"/>
  <c r="E36" i="3"/>
  <c r="C28" i="3"/>
  <c r="C21" i="3"/>
  <c r="D19" i="3"/>
  <c r="C19" i="3"/>
  <c r="G17" i="3"/>
  <c r="F17" i="3"/>
  <c r="E17" i="3"/>
  <c r="D17" i="3"/>
  <c r="C17" i="3"/>
  <c r="G14" i="3"/>
  <c r="F14" i="3"/>
  <c r="E14" i="3"/>
  <c r="D14" i="3"/>
  <c r="C14" i="3"/>
  <c r="G12" i="3"/>
  <c r="F12" i="3"/>
  <c r="G10" i="3"/>
  <c r="G8" i="3"/>
  <c r="F8" i="3"/>
  <c r="E8" i="3"/>
  <c r="D8" i="3"/>
  <c r="F6" i="3"/>
  <c r="G6" i="3"/>
  <c r="C6" i="3"/>
  <c r="V8" i="6" l="1"/>
  <c r="W7" i="6"/>
  <c r="P4" i="6"/>
  <c r="O5" i="6"/>
  <c r="Q40" i="3"/>
  <c r="S40" i="3" s="1"/>
  <c r="O6" i="6" l="1"/>
  <c r="P5" i="6"/>
  <c r="V9" i="6"/>
  <c r="W8" i="6"/>
  <c r="D3" i="3"/>
  <c r="M3" i="3" s="1"/>
  <c r="D2" i="3"/>
  <c r="M2" i="3" s="1"/>
  <c r="D1" i="3"/>
  <c r="O2" i="2"/>
  <c r="D2" i="2"/>
  <c r="Y8" i="3" l="1"/>
  <c r="E19" i="3"/>
  <c r="R6" i="3"/>
  <c r="F36" i="3"/>
  <c r="AA17" i="3"/>
  <c r="U30" i="3"/>
  <c r="N19" i="3"/>
  <c r="M12" i="3"/>
  <c r="D36" i="3"/>
  <c r="AB14" i="3"/>
  <c r="R12" i="3"/>
  <c r="Y17" i="3"/>
  <c r="M17" i="3"/>
  <c r="T17" i="3"/>
  <c r="K12" i="3"/>
  <c r="AA8" i="3"/>
  <c r="K34" i="3"/>
  <c r="K17" i="3"/>
  <c r="G19" i="3"/>
  <c r="T6" i="3"/>
  <c r="F19" i="3"/>
  <c r="V10" i="6"/>
  <c r="W9" i="6"/>
  <c r="O7" i="6"/>
  <c r="P6" i="6"/>
  <c r="X14" i="3"/>
  <c r="Y12" i="3"/>
  <c r="Z10" i="3"/>
  <c r="AB6" i="3"/>
  <c r="R14" i="3"/>
  <c r="S12" i="3"/>
  <c r="T10" i="3"/>
  <c r="U8" i="3"/>
  <c r="Q8" i="3"/>
  <c r="S25" i="3"/>
  <c r="T23" i="3"/>
  <c r="U21" i="3"/>
  <c r="Q21" i="3"/>
  <c r="R19" i="3"/>
  <c r="AA25" i="3"/>
  <c r="AB23" i="3"/>
  <c r="X23" i="3"/>
  <c r="Y21" i="3"/>
  <c r="Z19" i="3"/>
  <c r="AB28" i="3"/>
  <c r="X28" i="3"/>
  <c r="T28" i="3"/>
  <c r="Q30" i="3"/>
  <c r="R32" i="3"/>
  <c r="S34" i="3"/>
  <c r="L32" i="3"/>
  <c r="M30" i="3"/>
  <c r="N28" i="3"/>
  <c r="J28" i="3"/>
  <c r="K25" i="3"/>
  <c r="L23" i="3"/>
  <c r="M21" i="3"/>
  <c r="J19" i="3"/>
  <c r="L14" i="3"/>
  <c r="N10" i="3"/>
  <c r="J10" i="3"/>
  <c r="K8" i="3"/>
  <c r="L6" i="3"/>
  <c r="G34" i="3"/>
  <c r="C34" i="3"/>
  <c r="D32" i="3"/>
  <c r="E30" i="3"/>
  <c r="F28" i="3"/>
  <c r="G25" i="3"/>
  <c r="C25" i="3"/>
  <c r="D23" i="3"/>
  <c r="E21" i="3"/>
  <c r="AA10" i="3"/>
  <c r="R8" i="3"/>
  <c r="AB25" i="3"/>
  <c r="AA19" i="3"/>
  <c r="Y28" i="3"/>
  <c r="S32" i="3"/>
  <c r="Q36" i="3"/>
  <c r="N30" i="3"/>
  <c r="N21" i="3"/>
  <c r="L8" i="3"/>
  <c r="C36" i="3"/>
  <c r="F30" i="3"/>
  <c r="E23" i="3"/>
  <c r="AA14" i="3"/>
  <c r="AB12" i="3"/>
  <c r="X12" i="3"/>
  <c r="Y10" i="3"/>
  <c r="AA6" i="3"/>
  <c r="U14" i="3"/>
  <c r="Q14" i="3"/>
  <c r="S10" i="3"/>
  <c r="T8" i="3"/>
  <c r="R25" i="3"/>
  <c r="S23" i="3"/>
  <c r="T21" i="3"/>
  <c r="U19" i="3"/>
  <c r="Q19" i="3"/>
  <c r="Z25" i="3"/>
  <c r="AA23" i="3"/>
  <c r="AB21" i="3"/>
  <c r="X21" i="3"/>
  <c r="Y19" i="3"/>
  <c r="AA28" i="3"/>
  <c r="X30" i="3"/>
  <c r="S28" i="3"/>
  <c r="T30" i="3"/>
  <c r="U32" i="3"/>
  <c r="Q32" i="3"/>
  <c r="R34" i="3"/>
  <c r="K32" i="3"/>
  <c r="L30" i="3"/>
  <c r="M28" i="3"/>
  <c r="J25" i="3"/>
  <c r="K23" i="3"/>
  <c r="L21" i="3"/>
  <c r="M19" i="3"/>
  <c r="N17" i="3"/>
  <c r="K14" i="3"/>
  <c r="M10" i="3"/>
  <c r="N8" i="3"/>
  <c r="J8" i="3"/>
  <c r="K6" i="3"/>
  <c r="F34" i="3"/>
  <c r="G32" i="3"/>
  <c r="C32" i="3"/>
  <c r="D30" i="3"/>
  <c r="E28" i="3"/>
  <c r="F25" i="3"/>
  <c r="G23" i="3"/>
  <c r="C23" i="3"/>
  <c r="D21" i="3"/>
  <c r="Z12" i="3"/>
  <c r="Q10" i="3"/>
  <c r="T25" i="3"/>
  <c r="R21" i="3"/>
  <c r="Y23" i="3"/>
  <c r="AB17" i="3"/>
  <c r="R30" i="3"/>
  <c r="J30" i="3"/>
  <c r="M23" i="3"/>
  <c r="K19" i="3"/>
  <c r="M6" i="3"/>
  <c r="D34" i="3"/>
  <c r="G28" i="3"/>
  <c r="F21" i="3"/>
  <c r="Z14" i="3"/>
  <c r="AA12" i="3"/>
  <c r="AB10" i="3"/>
  <c r="X10" i="3"/>
  <c r="Z6" i="3"/>
  <c r="T14" i="3"/>
  <c r="U12" i="3"/>
  <c r="R10" i="3"/>
  <c r="S8" i="3"/>
  <c r="U25" i="3"/>
  <c r="Q25" i="3"/>
  <c r="R23" i="3"/>
  <c r="S21" i="3"/>
  <c r="T19" i="3"/>
  <c r="Y25" i="3"/>
  <c r="Z23" i="3"/>
  <c r="AA21" i="3"/>
  <c r="AB19" i="3"/>
  <c r="X19" i="3"/>
  <c r="Z28" i="3"/>
  <c r="R28" i="3"/>
  <c r="S30" i="3"/>
  <c r="T32" i="3"/>
  <c r="U34" i="3"/>
  <c r="Q34" i="3"/>
  <c r="R36" i="3"/>
  <c r="N32" i="3"/>
  <c r="J32" i="3"/>
  <c r="K30" i="3"/>
  <c r="L28" i="3"/>
  <c r="N23" i="3"/>
  <c r="J23" i="3"/>
  <c r="K21" i="3"/>
  <c r="L19" i="3"/>
  <c r="L10" i="3"/>
  <c r="M8" i="3"/>
  <c r="N6" i="3"/>
  <c r="E34" i="3"/>
  <c r="F32" i="3"/>
  <c r="G30" i="3"/>
  <c r="C30" i="3"/>
  <c r="D28" i="3"/>
  <c r="E25" i="3"/>
  <c r="F23" i="3"/>
  <c r="G21" i="3"/>
  <c r="Y14" i="3"/>
  <c r="S14" i="3"/>
  <c r="T12" i="3"/>
  <c r="U10" i="3"/>
  <c r="U23" i="3"/>
  <c r="S19" i="3"/>
  <c r="Z21" i="3"/>
  <c r="Q28" i="3"/>
  <c r="T34" i="3"/>
  <c r="M32" i="3"/>
  <c r="K28" i="3"/>
  <c r="J21" i="3"/>
  <c r="M14" i="3"/>
  <c r="K10" i="3"/>
  <c r="E32" i="3"/>
  <c r="D25" i="3"/>
  <c r="E12" i="3"/>
  <c r="C8" i="3"/>
  <c r="D12" i="3"/>
  <c r="C12" i="3"/>
  <c r="F10" i="3"/>
  <c r="C10" i="3"/>
  <c r="E10" i="3"/>
  <c r="D6" i="3"/>
  <c r="D10" i="3"/>
  <c r="E6" i="3"/>
  <c r="P1" i="3"/>
  <c r="P7" i="6" l="1"/>
  <c r="O8" i="6"/>
  <c r="V11" i="6"/>
  <c r="W10" i="6"/>
  <c r="W11" i="6" l="1"/>
  <c r="V12" i="6"/>
  <c r="P8" i="6"/>
  <c r="O9" i="6"/>
  <c r="Z43" i="2"/>
  <c r="Z43" i="1"/>
  <c r="O10" i="6" l="1"/>
  <c r="P9" i="6"/>
  <c r="W12" i="6"/>
  <c r="V13" i="6"/>
  <c r="X2" i="1"/>
  <c r="V14" i="6" l="1"/>
  <c r="W13" i="6"/>
  <c r="P10" i="6"/>
  <c r="O11" i="6"/>
  <c r="K51" i="3"/>
  <c r="K50" i="3"/>
  <c r="D51" i="3"/>
  <c r="D50" i="3"/>
  <c r="O2" i="3"/>
  <c r="X2" i="2"/>
  <c r="AB43" i="2" s="1"/>
  <c r="O12" i="6" l="1"/>
  <c r="P11" i="6"/>
  <c r="V15" i="6"/>
  <c r="W14" i="6"/>
  <c r="J41" i="3"/>
  <c r="J42" i="3"/>
  <c r="W15" i="6" l="1"/>
  <c r="V16" i="6"/>
  <c r="O13" i="6"/>
  <c r="P12" i="6"/>
  <c r="R14" i="1"/>
  <c r="U14" i="1"/>
  <c r="T14" i="1"/>
  <c r="S14" i="1"/>
  <c r="U12" i="1"/>
  <c r="Q12" i="1"/>
  <c r="U10" i="1"/>
  <c r="Q10" i="1"/>
  <c r="U8" i="1"/>
  <c r="Q8" i="1"/>
  <c r="U6" i="1"/>
  <c r="Q6" i="1"/>
  <c r="T10" i="1"/>
  <c r="S8" i="1"/>
  <c r="R6" i="1"/>
  <c r="Q14" i="1"/>
  <c r="T12" i="1"/>
  <c r="S10" i="1"/>
  <c r="R8" i="1"/>
  <c r="S12" i="1"/>
  <c r="R10" i="1"/>
  <c r="T6" i="1"/>
  <c r="R12" i="1"/>
  <c r="T8" i="1"/>
  <c r="S6" i="1"/>
  <c r="S13" i="3"/>
  <c r="Q13" i="3"/>
  <c r="U13" i="3"/>
  <c r="T13" i="3"/>
  <c r="R13" i="3"/>
  <c r="U14" i="2"/>
  <c r="Q14" i="2"/>
  <c r="S12" i="2"/>
  <c r="S10" i="2"/>
  <c r="S8" i="2"/>
  <c r="S6" i="2"/>
  <c r="T14" i="2"/>
  <c r="U12" i="2"/>
  <c r="T10" i="2"/>
  <c r="R8" i="2"/>
  <c r="Q6" i="2"/>
  <c r="S14" i="2"/>
  <c r="T12" i="2"/>
  <c r="R10" i="2"/>
  <c r="Q8" i="2"/>
  <c r="U6" i="2"/>
  <c r="R14" i="2"/>
  <c r="R12" i="2"/>
  <c r="Q10" i="2"/>
  <c r="U8" i="2"/>
  <c r="T6" i="2"/>
  <c r="Q12" i="2"/>
  <c r="U10" i="2"/>
  <c r="T8" i="2"/>
  <c r="R6" i="2"/>
  <c r="Z44" i="3"/>
  <c r="R15" i="3"/>
  <c r="S11" i="3"/>
  <c r="S9" i="3"/>
  <c r="S7" i="3"/>
  <c r="U15" i="3"/>
  <c r="Q15" i="3"/>
  <c r="R11" i="3"/>
  <c r="R9" i="3"/>
  <c r="R7" i="3"/>
  <c r="S15" i="3"/>
  <c r="T11" i="3"/>
  <c r="T7" i="3"/>
  <c r="T9" i="3"/>
  <c r="T15" i="3"/>
  <c r="U11" i="3"/>
  <c r="Q11" i="3"/>
  <c r="U9" i="3"/>
  <c r="Q7" i="3"/>
  <c r="Q9" i="3"/>
  <c r="U7" i="3"/>
  <c r="U32" i="2"/>
  <c r="P13" i="6" l="1"/>
  <c r="O14" i="6"/>
  <c r="V17" i="6"/>
  <c r="W16" i="6"/>
  <c r="T36" i="1"/>
  <c r="R34" i="1"/>
  <c r="R32" i="1"/>
  <c r="R30" i="1"/>
  <c r="R28" i="1"/>
  <c r="S36" i="1"/>
  <c r="U34" i="1"/>
  <c r="Q34" i="1"/>
  <c r="U32" i="1"/>
  <c r="Q32" i="1"/>
  <c r="U30" i="1"/>
  <c r="Q30" i="1"/>
  <c r="U28" i="1"/>
  <c r="Q28" i="1"/>
  <c r="R36" i="1"/>
  <c r="T34" i="1"/>
  <c r="T32" i="1"/>
  <c r="T30" i="1"/>
  <c r="T28" i="1"/>
  <c r="U36" i="1"/>
  <c r="Q36" i="1"/>
  <c r="S34" i="1"/>
  <c r="S32" i="1"/>
  <c r="S30" i="1"/>
  <c r="S28" i="1"/>
  <c r="F36" i="1"/>
  <c r="F34" i="1"/>
  <c r="F32" i="1"/>
  <c r="F30" i="1"/>
  <c r="F28" i="1"/>
  <c r="E36" i="1"/>
  <c r="E34" i="1"/>
  <c r="E32" i="1"/>
  <c r="E30" i="1"/>
  <c r="E28" i="1"/>
  <c r="D36" i="1"/>
  <c r="D34" i="1"/>
  <c r="D32" i="1"/>
  <c r="D30" i="1"/>
  <c r="D28" i="1"/>
  <c r="G36" i="1"/>
  <c r="C36" i="1"/>
  <c r="G34" i="1"/>
  <c r="C34" i="1"/>
  <c r="G32" i="1"/>
  <c r="C32" i="1"/>
  <c r="G30" i="1"/>
  <c r="C30" i="1"/>
  <c r="G28" i="1"/>
  <c r="N25" i="1"/>
  <c r="J25" i="1"/>
  <c r="K23" i="1"/>
  <c r="K21" i="1"/>
  <c r="M25" i="1"/>
  <c r="N23" i="1"/>
  <c r="J23" i="1"/>
  <c r="N21" i="1"/>
  <c r="J21" i="1"/>
  <c r="N19" i="1"/>
  <c r="J19" i="1"/>
  <c r="N17" i="1"/>
  <c r="L25" i="1"/>
  <c r="M23" i="1"/>
  <c r="M21" i="1"/>
  <c r="M19" i="1"/>
  <c r="M17" i="1"/>
  <c r="K25" i="1"/>
  <c r="L23" i="1"/>
  <c r="L21" i="1"/>
  <c r="L19" i="1"/>
  <c r="L17" i="1"/>
  <c r="K19" i="1"/>
  <c r="Z14" i="1"/>
  <c r="Y14" i="1"/>
  <c r="AB14" i="1"/>
  <c r="X14" i="1"/>
  <c r="AA12" i="1"/>
  <c r="AA10" i="1"/>
  <c r="AA8" i="1"/>
  <c r="AA6" i="1"/>
  <c r="AA14" i="1"/>
  <c r="X12" i="1"/>
  <c r="AB10" i="1"/>
  <c r="Z8" i="1"/>
  <c r="Y6" i="1"/>
  <c r="AB12" i="1"/>
  <c r="Z10" i="1"/>
  <c r="Y8" i="1"/>
  <c r="X6" i="1"/>
  <c r="Z12" i="1"/>
  <c r="Y10" i="1"/>
  <c r="X8" i="1"/>
  <c r="AB6" i="1"/>
  <c r="Y12" i="1"/>
  <c r="X10" i="1"/>
  <c r="AB8" i="1"/>
  <c r="Z6" i="1"/>
  <c r="AB25" i="1"/>
  <c r="X25" i="1"/>
  <c r="AA23" i="1"/>
  <c r="AA21" i="1"/>
  <c r="AA19" i="1"/>
  <c r="AA25" i="1"/>
  <c r="Z23" i="1"/>
  <c r="Z21" i="1"/>
  <c r="Z19" i="1"/>
  <c r="Z17" i="1"/>
  <c r="Z25" i="1"/>
  <c r="Y23" i="1"/>
  <c r="Y21" i="1"/>
  <c r="Y19" i="1"/>
  <c r="Y17" i="1"/>
  <c r="Y25" i="1"/>
  <c r="AB23" i="1"/>
  <c r="X23" i="1"/>
  <c r="AB21" i="1"/>
  <c r="X21" i="1"/>
  <c r="AB19" i="1"/>
  <c r="X19" i="1"/>
  <c r="AB17" i="1"/>
  <c r="X17" i="1"/>
  <c r="AA17" i="1"/>
  <c r="N14" i="1"/>
  <c r="J14" i="1"/>
  <c r="K12" i="1"/>
  <c r="K10" i="1"/>
  <c r="K8" i="1"/>
  <c r="K6" i="1"/>
  <c r="M14" i="1"/>
  <c r="K14" i="1"/>
  <c r="N12" i="1"/>
  <c r="M10" i="1"/>
  <c r="L8" i="1"/>
  <c r="J6" i="1"/>
  <c r="M12" i="1"/>
  <c r="L10" i="1"/>
  <c r="J8" i="1"/>
  <c r="N6" i="1"/>
  <c r="L12" i="1"/>
  <c r="J10" i="1"/>
  <c r="N8" i="1"/>
  <c r="M6" i="1"/>
  <c r="L14" i="1"/>
  <c r="J12" i="1"/>
  <c r="N10" i="1"/>
  <c r="M8" i="1"/>
  <c r="L6" i="1"/>
  <c r="S25" i="1"/>
  <c r="U23" i="1"/>
  <c r="Q23" i="1"/>
  <c r="U21" i="1"/>
  <c r="Q21" i="1"/>
  <c r="U17" i="1"/>
  <c r="R25" i="1"/>
  <c r="T23" i="1"/>
  <c r="T21" i="1"/>
  <c r="T19" i="1"/>
  <c r="T17" i="1"/>
  <c r="U25" i="1"/>
  <c r="Q25" i="1"/>
  <c r="S23" i="1"/>
  <c r="S21" i="1"/>
  <c r="S19" i="1"/>
  <c r="S17" i="1"/>
  <c r="T25" i="1"/>
  <c r="R23" i="1"/>
  <c r="R21" i="1"/>
  <c r="R19" i="1"/>
  <c r="R17" i="1"/>
  <c r="U19" i="1"/>
  <c r="Q19" i="1"/>
  <c r="Q17" i="1"/>
  <c r="D14" i="1"/>
  <c r="E14" i="1"/>
  <c r="E12" i="1"/>
  <c r="E10" i="1"/>
  <c r="E8" i="1"/>
  <c r="E6" i="1"/>
  <c r="C14" i="1"/>
  <c r="G12" i="1"/>
  <c r="F10" i="1"/>
  <c r="D8" i="1"/>
  <c r="C6" i="1"/>
  <c r="F12" i="1"/>
  <c r="D10" i="1"/>
  <c r="C8" i="1"/>
  <c r="G6" i="1"/>
  <c r="G14" i="1"/>
  <c r="D12" i="1"/>
  <c r="C10" i="1"/>
  <c r="G8" i="1"/>
  <c r="F6" i="1"/>
  <c r="F14" i="1"/>
  <c r="C12" i="1"/>
  <c r="G10" i="1"/>
  <c r="F8" i="1"/>
  <c r="D6" i="1"/>
  <c r="E25" i="1"/>
  <c r="E23" i="1"/>
  <c r="E19" i="1"/>
  <c r="E17" i="1"/>
  <c r="D25" i="1"/>
  <c r="D23" i="1"/>
  <c r="D21" i="1"/>
  <c r="D19" i="1"/>
  <c r="D17" i="1"/>
  <c r="G25" i="1"/>
  <c r="C25" i="1"/>
  <c r="G23" i="1"/>
  <c r="C23" i="1"/>
  <c r="G21" i="1"/>
  <c r="C21" i="1"/>
  <c r="G19" i="1"/>
  <c r="C19" i="1"/>
  <c r="G17" i="1"/>
  <c r="C17" i="1"/>
  <c r="F25" i="1"/>
  <c r="F23" i="1"/>
  <c r="F21" i="1"/>
  <c r="F19" i="1"/>
  <c r="F17" i="1"/>
  <c r="E21" i="1"/>
  <c r="K35" i="3"/>
  <c r="K36" i="1"/>
  <c r="L34" i="1"/>
  <c r="L32" i="1"/>
  <c r="L30" i="1"/>
  <c r="L28" i="1"/>
  <c r="N36" i="1"/>
  <c r="J36" i="1"/>
  <c r="K34" i="1"/>
  <c r="K32" i="1"/>
  <c r="K30" i="1"/>
  <c r="K28" i="1"/>
  <c r="M36" i="1"/>
  <c r="N34" i="1"/>
  <c r="J34" i="1"/>
  <c r="N32" i="1"/>
  <c r="J32" i="1"/>
  <c r="N30" i="1"/>
  <c r="J30" i="1"/>
  <c r="N28" i="1"/>
  <c r="J28" i="1"/>
  <c r="L36" i="1"/>
  <c r="M34" i="1"/>
  <c r="M32" i="1"/>
  <c r="M30" i="1"/>
  <c r="M28" i="1"/>
  <c r="Y36" i="1"/>
  <c r="AB34" i="1"/>
  <c r="X34" i="1"/>
  <c r="AB32" i="1"/>
  <c r="X32" i="1"/>
  <c r="AB30" i="1"/>
  <c r="X30" i="1"/>
  <c r="AB28" i="1"/>
  <c r="X28" i="1"/>
  <c r="AB36" i="1"/>
  <c r="X36" i="1"/>
  <c r="AA34" i="1"/>
  <c r="AA32" i="1"/>
  <c r="AA30" i="1"/>
  <c r="AA28" i="1"/>
  <c r="AA36" i="1"/>
  <c r="Z34" i="1"/>
  <c r="Z32" i="1"/>
  <c r="Z30" i="1"/>
  <c r="Z28" i="1"/>
  <c r="Z36" i="1"/>
  <c r="Y34" i="1"/>
  <c r="Y32" i="1"/>
  <c r="Y30" i="1"/>
  <c r="Y28" i="1"/>
  <c r="J35" i="3"/>
  <c r="L29" i="3"/>
  <c r="M29" i="3"/>
  <c r="L37" i="3"/>
  <c r="K37" i="3"/>
  <c r="J29" i="3"/>
  <c r="Z25" i="2"/>
  <c r="AA23" i="2"/>
  <c r="AA21" i="2"/>
  <c r="AA19" i="2"/>
  <c r="AA17" i="2"/>
  <c r="AB25" i="2"/>
  <c r="AB23" i="2"/>
  <c r="Z21" i="2"/>
  <c r="Y19" i="2"/>
  <c r="X17" i="2"/>
  <c r="AA25" i="2"/>
  <c r="Z23" i="2"/>
  <c r="Y21" i="2"/>
  <c r="X19" i="2"/>
  <c r="AB17" i="2"/>
  <c r="Y25" i="2"/>
  <c r="Y23" i="2"/>
  <c r="X21" i="2"/>
  <c r="AB19" i="2"/>
  <c r="Z17" i="2"/>
  <c r="AB21" i="2"/>
  <c r="X23" i="2"/>
  <c r="Z19" i="2"/>
  <c r="Y17" i="2"/>
  <c r="X25" i="2"/>
  <c r="G14" i="2"/>
  <c r="C14" i="2"/>
  <c r="G12" i="2"/>
  <c r="C12" i="2"/>
  <c r="G10" i="2"/>
  <c r="C10" i="2"/>
  <c r="G8" i="2"/>
  <c r="C8" i="2"/>
  <c r="G6" i="2"/>
  <c r="C6" i="2"/>
  <c r="F12" i="2"/>
  <c r="E10" i="2"/>
  <c r="D8" i="2"/>
  <c r="F14" i="2"/>
  <c r="E12" i="2"/>
  <c r="D10" i="2"/>
  <c r="F6" i="2"/>
  <c r="E14" i="2"/>
  <c r="D12" i="2"/>
  <c r="F8" i="2"/>
  <c r="E6" i="2"/>
  <c r="F10" i="2"/>
  <c r="E8" i="2"/>
  <c r="D6" i="2"/>
  <c r="D14" i="2"/>
  <c r="N25" i="2"/>
  <c r="J25" i="2"/>
  <c r="K23" i="2"/>
  <c r="K21" i="2"/>
  <c r="K19" i="2"/>
  <c r="K17" i="2"/>
  <c r="M25" i="2"/>
  <c r="M23" i="2"/>
  <c r="L21" i="2"/>
  <c r="J19" i="2"/>
  <c r="N17" i="2"/>
  <c r="L25" i="2"/>
  <c r="L23" i="2"/>
  <c r="J21" i="2"/>
  <c r="N19" i="2"/>
  <c r="M17" i="2"/>
  <c r="K25" i="2"/>
  <c r="J23" i="2"/>
  <c r="N21" i="2"/>
  <c r="M19" i="2"/>
  <c r="L17" i="2"/>
  <c r="N23" i="2"/>
  <c r="M21" i="2"/>
  <c r="L19" i="2"/>
  <c r="AA14" i="2"/>
  <c r="Y12" i="2"/>
  <c r="Y10" i="2"/>
  <c r="Y8" i="2"/>
  <c r="Y6" i="2"/>
  <c r="AB14" i="2"/>
  <c r="AB12" i="2"/>
  <c r="AA10" i="2"/>
  <c r="Z8" i="2"/>
  <c r="X6" i="2"/>
  <c r="Z14" i="2"/>
  <c r="AA12" i="2"/>
  <c r="Z10" i="2"/>
  <c r="X8" i="2"/>
  <c r="AB6" i="2"/>
  <c r="Y14" i="2"/>
  <c r="Z12" i="2"/>
  <c r="X10" i="2"/>
  <c r="AB8" i="2"/>
  <c r="AA6" i="2"/>
  <c r="X14" i="2"/>
  <c r="AB10" i="2"/>
  <c r="X12" i="2"/>
  <c r="AA8" i="2"/>
  <c r="Z6" i="2"/>
  <c r="Y36" i="2"/>
  <c r="Z34" i="2"/>
  <c r="Z32" i="2"/>
  <c r="Z30" i="2"/>
  <c r="Z28" i="2"/>
  <c r="AB36" i="2"/>
  <c r="X36" i="2"/>
  <c r="AA36" i="2"/>
  <c r="AB34" i="2"/>
  <c r="AA32" i="2"/>
  <c r="Y30" i="2"/>
  <c r="X28" i="2"/>
  <c r="Z36" i="2"/>
  <c r="AA34" i="2"/>
  <c r="Y32" i="2"/>
  <c r="X30" i="2"/>
  <c r="AB28" i="2"/>
  <c r="Y34" i="2"/>
  <c r="X32" i="2"/>
  <c r="AB30" i="2"/>
  <c r="AA28" i="2"/>
  <c r="X34" i="2"/>
  <c r="AB32" i="2"/>
  <c r="Y28" i="2"/>
  <c r="AA30" i="2"/>
  <c r="T25" i="2"/>
  <c r="U23" i="2"/>
  <c r="Q23" i="2"/>
  <c r="U21" i="2"/>
  <c r="Q21" i="2"/>
  <c r="U19" i="2"/>
  <c r="Q19" i="2"/>
  <c r="U17" i="2"/>
  <c r="Q17" i="2"/>
  <c r="U25" i="2"/>
  <c r="T23" i="2"/>
  <c r="S21" i="2"/>
  <c r="R19" i="2"/>
  <c r="S25" i="2"/>
  <c r="S23" i="2"/>
  <c r="R21" i="2"/>
  <c r="T17" i="2"/>
  <c r="R25" i="2"/>
  <c r="R23" i="2"/>
  <c r="T19" i="2"/>
  <c r="S17" i="2"/>
  <c r="Q25" i="2"/>
  <c r="S19" i="2"/>
  <c r="T21" i="2"/>
  <c r="R17" i="2"/>
  <c r="S36" i="2"/>
  <c r="T34" i="2"/>
  <c r="T32" i="2"/>
  <c r="T30" i="2"/>
  <c r="T28" i="2"/>
  <c r="R36" i="2"/>
  <c r="Q36" i="2"/>
  <c r="U34" i="2"/>
  <c r="S32" i="2"/>
  <c r="R30" i="2"/>
  <c r="Q28" i="2"/>
  <c r="S34" i="2"/>
  <c r="R32" i="2"/>
  <c r="Q30" i="2"/>
  <c r="U28" i="2"/>
  <c r="U36" i="2"/>
  <c r="R34" i="2"/>
  <c r="Q32" i="2"/>
  <c r="U30" i="2"/>
  <c r="S28" i="2"/>
  <c r="T36" i="2"/>
  <c r="S30" i="2"/>
  <c r="R28" i="2"/>
  <c r="Q34" i="2"/>
  <c r="E25" i="2"/>
  <c r="E23" i="2"/>
  <c r="E21" i="2"/>
  <c r="E19" i="2"/>
  <c r="E17" i="2"/>
  <c r="G25" i="2"/>
  <c r="F23" i="2"/>
  <c r="D21" i="2"/>
  <c r="C19" i="2"/>
  <c r="G17" i="2"/>
  <c r="F25" i="2"/>
  <c r="D23" i="2"/>
  <c r="C21" i="2"/>
  <c r="G19" i="2"/>
  <c r="F17" i="2"/>
  <c r="D25" i="2"/>
  <c r="C23" i="2"/>
  <c r="G21" i="2"/>
  <c r="F19" i="2"/>
  <c r="D17" i="2"/>
  <c r="G23" i="2"/>
  <c r="F21" i="2"/>
  <c r="D19" i="2"/>
  <c r="C17" i="2"/>
  <c r="C25" i="2"/>
  <c r="D36" i="2"/>
  <c r="D34" i="2"/>
  <c r="D32" i="2"/>
  <c r="D30" i="2"/>
  <c r="D28" i="2"/>
  <c r="G36" i="2"/>
  <c r="F34" i="2"/>
  <c r="E32" i="2"/>
  <c r="C30" i="2"/>
  <c r="G28" i="2"/>
  <c r="F36" i="2"/>
  <c r="E34" i="2"/>
  <c r="C32" i="2"/>
  <c r="G30" i="2"/>
  <c r="F28" i="2"/>
  <c r="E36" i="2"/>
  <c r="C34" i="2"/>
  <c r="G32" i="2"/>
  <c r="F30" i="2"/>
  <c r="E28" i="2"/>
  <c r="G34" i="2"/>
  <c r="E30" i="2"/>
  <c r="F32" i="2"/>
  <c r="C36" i="2"/>
  <c r="L14" i="2"/>
  <c r="M12" i="2"/>
  <c r="M10" i="2"/>
  <c r="M8" i="2"/>
  <c r="M6" i="2"/>
  <c r="N14" i="2"/>
  <c r="N12" i="2"/>
  <c r="L10" i="2"/>
  <c r="K8" i="2"/>
  <c r="J6" i="2"/>
  <c r="M14" i="2"/>
  <c r="L12" i="2"/>
  <c r="K10" i="2"/>
  <c r="J8" i="2"/>
  <c r="N6" i="2"/>
  <c r="K14" i="2"/>
  <c r="K12" i="2"/>
  <c r="J10" i="2"/>
  <c r="N8" i="2"/>
  <c r="L6" i="2"/>
  <c r="J14" i="2"/>
  <c r="N10" i="2"/>
  <c r="L8" i="2"/>
  <c r="K6" i="2"/>
  <c r="J12" i="2"/>
  <c r="L35" i="3"/>
  <c r="M36" i="2"/>
  <c r="N34" i="2"/>
  <c r="J34" i="2"/>
  <c r="N32" i="2"/>
  <c r="J32" i="2"/>
  <c r="N30" i="2"/>
  <c r="J30" i="2"/>
  <c r="N28" i="2"/>
  <c r="J28" i="2"/>
  <c r="L36" i="2"/>
  <c r="M34" i="2"/>
  <c r="L32" i="2"/>
  <c r="K30" i="2"/>
  <c r="N36" i="2"/>
  <c r="L34" i="2"/>
  <c r="K32" i="2"/>
  <c r="M28" i="2"/>
  <c r="K36" i="2"/>
  <c r="K34" i="2"/>
  <c r="M30" i="2"/>
  <c r="L28" i="2"/>
  <c r="J36" i="2"/>
  <c r="M32" i="2"/>
  <c r="L30" i="2"/>
  <c r="K28" i="2"/>
  <c r="N31" i="3"/>
  <c r="N29" i="3"/>
  <c r="J37" i="3"/>
  <c r="J33" i="3"/>
  <c r="M31" i="3"/>
  <c r="J31" i="3"/>
  <c r="K31" i="3"/>
  <c r="N37" i="3"/>
  <c r="L33" i="3"/>
  <c r="M33" i="3"/>
  <c r="K29" i="3"/>
  <c r="L31" i="3"/>
  <c r="N35" i="3"/>
  <c r="M35" i="3"/>
  <c r="N33" i="3"/>
  <c r="K33" i="3"/>
  <c r="M37" i="3"/>
  <c r="F37" i="3"/>
  <c r="F35" i="3"/>
  <c r="F33" i="3"/>
  <c r="F31" i="3"/>
  <c r="F29" i="3"/>
  <c r="D37" i="3"/>
  <c r="E37" i="3"/>
  <c r="E35" i="3"/>
  <c r="E33" i="3"/>
  <c r="E31" i="3"/>
  <c r="E29" i="3"/>
  <c r="D33" i="3"/>
  <c r="D29" i="3"/>
  <c r="C35" i="3"/>
  <c r="G33" i="3"/>
  <c r="C31" i="3"/>
  <c r="G29" i="3"/>
  <c r="G37" i="3"/>
  <c r="G35" i="3"/>
  <c r="C33" i="3"/>
  <c r="G31" i="3"/>
  <c r="C37" i="3"/>
  <c r="D35" i="3"/>
  <c r="D31" i="3"/>
  <c r="T37" i="3"/>
  <c r="R35" i="3"/>
  <c r="R33" i="3"/>
  <c r="R31" i="3"/>
  <c r="R29" i="3"/>
  <c r="R37" i="3"/>
  <c r="S37" i="3"/>
  <c r="U35" i="3"/>
  <c r="Q35" i="3"/>
  <c r="U33" i="3"/>
  <c r="Q33" i="3"/>
  <c r="U31" i="3"/>
  <c r="Q31" i="3"/>
  <c r="U29" i="3"/>
  <c r="Q29" i="3"/>
  <c r="U37" i="3"/>
  <c r="T35" i="3"/>
  <c r="T31" i="3"/>
  <c r="S33" i="3"/>
  <c r="S29" i="3"/>
  <c r="Q37" i="3"/>
  <c r="S35" i="3"/>
  <c r="S31" i="3"/>
  <c r="T33" i="3"/>
  <c r="T29" i="3"/>
  <c r="AA15" i="3"/>
  <c r="Y13" i="3"/>
  <c r="Y11" i="3"/>
  <c r="Y9" i="3"/>
  <c r="Y7" i="3"/>
  <c r="Z15" i="3"/>
  <c r="AB13" i="3"/>
  <c r="X13" i="3"/>
  <c r="AB11" i="3"/>
  <c r="X11" i="3"/>
  <c r="AB9" i="3"/>
  <c r="X9" i="3"/>
  <c r="AB7" i="3"/>
  <c r="X7" i="3"/>
  <c r="Y15" i="3"/>
  <c r="Z13" i="3"/>
  <c r="Z9" i="3"/>
  <c r="Z11" i="3"/>
  <c r="Z7" i="3"/>
  <c r="AB15" i="3"/>
  <c r="AA13" i="3"/>
  <c r="AA9" i="3"/>
  <c r="X15" i="3"/>
  <c r="AA11" i="3"/>
  <c r="AA7" i="3"/>
  <c r="Y37" i="3"/>
  <c r="AB35" i="3"/>
  <c r="X35" i="3"/>
  <c r="AB33" i="3"/>
  <c r="X33" i="3"/>
  <c r="AB31" i="3"/>
  <c r="X31" i="3"/>
  <c r="AB29" i="3"/>
  <c r="X29" i="3"/>
  <c r="AA37" i="3"/>
  <c r="Z35" i="3"/>
  <c r="AB37" i="3"/>
  <c r="X37" i="3"/>
  <c r="AA35" i="3"/>
  <c r="AA33" i="3"/>
  <c r="AA31" i="3"/>
  <c r="AA29" i="3"/>
  <c r="Z33" i="3"/>
  <c r="Z29" i="3"/>
  <c r="Y35" i="3"/>
  <c r="Y31" i="3"/>
  <c r="Y33" i="3"/>
  <c r="Y29" i="3"/>
  <c r="Z37" i="3"/>
  <c r="Z31" i="3"/>
  <c r="S26" i="3"/>
  <c r="U24" i="3"/>
  <c r="Q24" i="3"/>
  <c r="U22" i="3"/>
  <c r="Q22" i="3"/>
  <c r="U20" i="3"/>
  <c r="Q20" i="3"/>
  <c r="U18" i="3"/>
  <c r="Q18" i="3"/>
  <c r="R26" i="3"/>
  <c r="T24" i="3"/>
  <c r="T22" i="3"/>
  <c r="T20" i="3"/>
  <c r="T18" i="3"/>
  <c r="S22" i="3"/>
  <c r="S18" i="3"/>
  <c r="S20" i="3"/>
  <c r="Q26" i="3"/>
  <c r="R24" i="3"/>
  <c r="R20" i="3"/>
  <c r="U26" i="3"/>
  <c r="R22" i="3"/>
  <c r="R18" i="3"/>
  <c r="T26" i="3"/>
  <c r="S24" i="3"/>
  <c r="E26" i="3"/>
  <c r="E24" i="3"/>
  <c r="E22" i="3"/>
  <c r="E20" i="3"/>
  <c r="E18" i="3"/>
  <c r="D26" i="3"/>
  <c r="D24" i="3"/>
  <c r="D22" i="3"/>
  <c r="D20" i="3"/>
  <c r="D18" i="3"/>
  <c r="G26" i="3"/>
  <c r="C24" i="3"/>
  <c r="G22" i="3"/>
  <c r="C20" i="3"/>
  <c r="G18" i="3"/>
  <c r="C22" i="3"/>
  <c r="G20" i="3"/>
  <c r="C18" i="3"/>
  <c r="F24" i="3"/>
  <c r="F20" i="3"/>
  <c r="F26" i="3"/>
  <c r="F22" i="3"/>
  <c r="F18" i="3"/>
  <c r="C26" i="3"/>
  <c r="G24" i="3"/>
  <c r="M15" i="3"/>
  <c r="M13" i="3"/>
  <c r="M11" i="3"/>
  <c r="M9" i="3"/>
  <c r="M7" i="3"/>
  <c r="L15" i="3"/>
  <c r="L13" i="3"/>
  <c r="L11" i="3"/>
  <c r="L9" i="3"/>
  <c r="L7" i="3"/>
  <c r="J15" i="3"/>
  <c r="N13" i="3"/>
  <c r="J11" i="3"/>
  <c r="N9" i="3"/>
  <c r="J7" i="3"/>
  <c r="N15" i="3"/>
  <c r="J13" i="3"/>
  <c r="N11" i="3"/>
  <c r="J9" i="3"/>
  <c r="N7" i="3"/>
  <c r="K15" i="3"/>
  <c r="K11" i="3"/>
  <c r="K7" i="3"/>
  <c r="K13" i="3"/>
  <c r="K9" i="3"/>
  <c r="AB26" i="3"/>
  <c r="X26" i="3"/>
  <c r="AA24" i="3"/>
  <c r="AA22" i="3"/>
  <c r="AA20" i="3"/>
  <c r="AA18" i="3"/>
  <c r="AA26" i="3"/>
  <c r="Z24" i="3"/>
  <c r="Z22" i="3"/>
  <c r="Z20" i="3"/>
  <c r="Z18" i="3"/>
  <c r="Y24" i="3"/>
  <c r="Y20" i="3"/>
  <c r="Y18" i="3"/>
  <c r="Y26" i="3"/>
  <c r="AB24" i="3"/>
  <c r="X22" i="3"/>
  <c r="AB20" i="3"/>
  <c r="X18" i="3"/>
  <c r="X24" i="3"/>
  <c r="AB22" i="3"/>
  <c r="X20" i="3"/>
  <c r="AB18" i="3"/>
  <c r="Z26" i="3"/>
  <c r="Y22" i="3"/>
  <c r="N26" i="3"/>
  <c r="J26" i="3"/>
  <c r="K24" i="3"/>
  <c r="K22" i="3"/>
  <c r="K20" i="3"/>
  <c r="K18" i="3"/>
  <c r="M26" i="3"/>
  <c r="N24" i="3"/>
  <c r="J24" i="3"/>
  <c r="N22" i="3"/>
  <c r="J22" i="3"/>
  <c r="N20" i="3"/>
  <c r="J20" i="3"/>
  <c r="N18" i="3"/>
  <c r="M24" i="3"/>
  <c r="M20" i="3"/>
  <c r="M22" i="3"/>
  <c r="M18" i="3"/>
  <c r="L22" i="3"/>
  <c r="L18" i="3"/>
  <c r="L26" i="3"/>
  <c r="L24" i="3"/>
  <c r="L20" i="3"/>
  <c r="K26" i="3"/>
  <c r="G15" i="3"/>
  <c r="C15" i="3"/>
  <c r="G13" i="3"/>
  <c r="C13" i="3"/>
  <c r="G11" i="3"/>
  <c r="C11" i="3"/>
  <c r="G9" i="3"/>
  <c r="C9" i="3"/>
  <c r="G7" i="3"/>
  <c r="C7" i="3"/>
  <c r="F15" i="3"/>
  <c r="F13" i="3"/>
  <c r="F11" i="3"/>
  <c r="F9" i="3"/>
  <c r="F7" i="3"/>
  <c r="D13" i="3"/>
  <c r="D9" i="3"/>
  <c r="D15" i="3"/>
  <c r="D11" i="3"/>
  <c r="D7" i="3"/>
  <c r="E9" i="3"/>
  <c r="E15" i="3"/>
  <c r="E11" i="3"/>
  <c r="E7" i="3"/>
  <c r="E13" i="3"/>
  <c r="V18" i="6" l="1"/>
  <c r="W17" i="6"/>
  <c r="P14" i="6"/>
  <c r="O15" i="6"/>
  <c r="Q2" i="3"/>
  <c r="O16" i="6" l="1"/>
  <c r="P15" i="6"/>
  <c r="V19" i="6"/>
  <c r="W18" i="6"/>
  <c r="O3" i="3"/>
  <c r="Q3" i="3"/>
  <c r="AB44" i="3" s="1"/>
  <c r="W19" i="6" l="1"/>
  <c r="V20" i="6"/>
  <c r="P16" i="6"/>
  <c r="O17" i="6"/>
  <c r="AB43" i="1"/>
  <c r="O18" i="6" l="1"/>
  <c r="P17" i="6"/>
  <c r="V21" i="6"/>
  <c r="W20" i="6"/>
  <c r="V22" i="6" l="1"/>
  <c r="W21" i="6"/>
  <c r="O19" i="6"/>
  <c r="P18" i="6"/>
  <c r="O20" i="6" l="1"/>
  <c r="P19" i="6"/>
  <c r="V23" i="6"/>
  <c r="W22" i="6"/>
  <c r="W23" i="6" l="1"/>
  <c r="V24" i="6"/>
  <c r="P20" i="6"/>
  <c r="O21" i="6"/>
  <c r="V25" i="6" l="1"/>
  <c r="W24" i="6"/>
  <c r="O22" i="6"/>
  <c r="P21" i="6"/>
  <c r="O23" i="6" l="1"/>
  <c r="P22" i="6"/>
  <c r="V26" i="6"/>
  <c r="W25" i="6"/>
  <c r="W26" i="6" l="1"/>
  <c r="V27" i="6"/>
  <c r="O24" i="6"/>
  <c r="P23" i="6"/>
  <c r="P24" i="6" l="1"/>
  <c r="O25" i="6"/>
  <c r="W27" i="6"/>
  <c r="V28" i="6"/>
  <c r="V29" i="6" l="1"/>
  <c r="W28" i="6"/>
  <c r="O26" i="6"/>
  <c r="P25" i="6"/>
  <c r="O27" i="6" l="1"/>
  <c r="P26" i="6"/>
  <c r="V30" i="6"/>
  <c r="W29" i="6"/>
  <c r="W30" i="6" l="1"/>
  <c r="V31" i="6"/>
  <c r="P27" i="6"/>
  <c r="O28" i="6"/>
  <c r="AF27" i="6" l="1"/>
  <c r="AE27" i="6"/>
  <c r="W31" i="6"/>
  <c r="V32" i="6"/>
  <c r="P28" i="6"/>
  <c r="O29" i="6"/>
  <c r="AF28" i="6" l="1"/>
  <c r="AE28" i="6"/>
  <c r="O30" i="6"/>
  <c r="P29" i="6"/>
  <c r="V33" i="6"/>
  <c r="W32" i="6"/>
  <c r="AF29" i="6" l="1"/>
  <c r="AE29" i="6"/>
  <c r="V34" i="6"/>
  <c r="W33" i="6"/>
  <c r="O31" i="6"/>
  <c r="P30" i="6"/>
  <c r="AF30" i="6" l="1"/>
  <c r="AE30" i="6"/>
  <c r="P31" i="6"/>
  <c r="O32" i="6"/>
  <c r="W34" i="6"/>
  <c r="V35" i="6"/>
  <c r="AE31" i="6" l="1"/>
  <c r="AF31" i="6"/>
  <c r="W35" i="6"/>
  <c r="V36" i="6"/>
  <c r="P32" i="6"/>
  <c r="O33" i="6"/>
  <c r="AE32" i="6" l="1"/>
  <c r="AF32" i="6"/>
  <c r="O34" i="6"/>
  <c r="P33" i="6"/>
  <c r="W36" i="6"/>
  <c r="V37" i="6"/>
  <c r="AE33" i="6" l="1"/>
  <c r="AF33" i="6"/>
  <c r="W37" i="6"/>
  <c r="V38" i="6"/>
  <c r="O35" i="6"/>
  <c r="P34" i="6"/>
  <c r="AE34" i="6" l="1"/>
  <c r="AF34" i="6"/>
  <c r="W38" i="6"/>
  <c r="V39" i="6"/>
  <c r="P35" i="6"/>
  <c r="O36" i="6"/>
  <c r="AE35" i="6" l="1"/>
  <c r="AF35" i="6"/>
  <c r="P36" i="6"/>
  <c r="O37" i="6"/>
  <c r="W39" i="6"/>
  <c r="V40" i="6"/>
  <c r="AF36" i="6" l="1"/>
  <c r="AE36" i="6"/>
  <c r="W40" i="6"/>
  <c r="V41" i="6"/>
  <c r="P37" i="6"/>
  <c r="O38" i="6"/>
  <c r="AF37" i="6" l="1"/>
  <c r="AE37" i="6"/>
  <c r="P38" i="6"/>
  <c r="O39" i="6"/>
  <c r="W41" i="6"/>
  <c r="V42" i="6"/>
  <c r="AE38" i="6" l="1"/>
  <c r="AF38" i="6"/>
  <c r="W42" i="6"/>
  <c r="V43" i="6"/>
  <c r="P39" i="6"/>
  <c r="O40" i="6"/>
  <c r="AE39" i="6" l="1"/>
  <c r="AF39" i="6"/>
  <c r="P40" i="6"/>
  <c r="O41" i="6"/>
  <c r="V44" i="6"/>
  <c r="W43" i="6"/>
  <c r="AF40" i="6" l="1"/>
  <c r="AE40" i="6"/>
  <c r="V45" i="6"/>
  <c r="W44" i="6"/>
  <c r="P41" i="6"/>
  <c r="O42" i="6"/>
  <c r="AE41" i="6" l="1"/>
  <c r="AF41" i="6"/>
  <c r="P42" i="6"/>
  <c r="O43" i="6"/>
  <c r="W45" i="6"/>
  <c r="V46" i="6"/>
  <c r="AF42" i="6" l="1"/>
  <c r="AE42" i="6"/>
  <c r="W46" i="6"/>
  <c r="V47" i="6"/>
  <c r="P43" i="6"/>
  <c r="O44" i="6"/>
  <c r="AF43" i="6" l="1"/>
  <c r="AE43" i="6"/>
  <c r="O45" i="6"/>
  <c r="P44" i="6"/>
  <c r="V48" i="6"/>
  <c r="W47" i="6"/>
  <c r="AE44" i="6" l="1"/>
  <c r="AF44" i="6"/>
  <c r="V49" i="6"/>
  <c r="W48" i="6"/>
  <c r="O46" i="6"/>
  <c r="P45" i="6"/>
  <c r="AI44" i="6" l="1"/>
  <c r="AI45" i="6" s="1"/>
  <c r="AG44" i="6"/>
  <c r="AG45" i="6" s="1"/>
  <c r="AE45" i="6"/>
  <c r="AF45" i="6"/>
  <c r="AH44" i="6"/>
  <c r="AH45" i="6" s="1"/>
  <c r="P46" i="6"/>
  <c r="O47" i="6"/>
  <c r="W49" i="6"/>
  <c r="V50" i="6"/>
  <c r="AF46" i="6" l="1"/>
  <c r="AE46" i="6"/>
  <c r="P47" i="6"/>
  <c r="O48" i="6"/>
  <c r="W50" i="6"/>
  <c r="V51" i="6"/>
  <c r="AH46" i="6" l="1"/>
  <c r="AH47" i="6"/>
  <c r="AF47" i="6"/>
  <c r="AE47" i="6"/>
  <c r="AG46" i="6"/>
  <c r="AI46" i="6"/>
  <c r="AI47" i="6" s="1"/>
  <c r="AG47" i="6"/>
  <c r="V52" i="6"/>
  <c r="W51" i="6"/>
  <c r="O49" i="6"/>
  <c r="P48" i="6"/>
  <c r="AF48" i="6" l="1"/>
  <c r="AI48" i="6"/>
  <c r="AE48" i="6"/>
  <c r="O50" i="6"/>
  <c r="P49" i="6"/>
  <c r="V53" i="6"/>
  <c r="W52" i="6"/>
  <c r="AG48" i="6" l="1"/>
  <c r="AG49" i="6" s="1"/>
  <c r="AF49" i="6"/>
  <c r="AI49" i="6"/>
  <c r="AH48" i="6"/>
  <c r="AH49" i="6" s="1"/>
  <c r="AE49" i="6"/>
  <c r="W53" i="6"/>
  <c r="V54" i="6"/>
  <c r="P50" i="6"/>
  <c r="O51" i="6"/>
  <c r="AH50" i="6" l="1"/>
  <c r="AG50" i="6"/>
  <c r="AF50" i="6"/>
  <c r="AE50" i="6"/>
  <c r="AI50" i="6"/>
  <c r="W54" i="6"/>
  <c r="V55" i="6"/>
  <c r="P51" i="6"/>
  <c r="O52" i="6"/>
  <c r="AI51" i="6" l="1"/>
  <c r="AH51" i="6"/>
  <c r="AE51" i="6"/>
  <c r="AG51" i="6"/>
  <c r="AF51" i="6"/>
  <c r="O53" i="6"/>
  <c r="P52" i="6"/>
  <c r="V56" i="6"/>
  <c r="W55" i="6"/>
  <c r="AE52" i="6" l="1"/>
  <c r="AI52" i="6"/>
  <c r="AF52" i="6"/>
  <c r="AG52" i="6"/>
  <c r="AH52" i="6"/>
  <c r="V57" i="6"/>
  <c r="W56" i="6"/>
  <c r="O54" i="6"/>
  <c r="P53" i="6"/>
  <c r="AF53" i="6" l="1"/>
  <c r="AE53" i="6"/>
  <c r="AH53" i="6"/>
  <c r="AG53" i="6"/>
  <c r="AI53" i="6"/>
  <c r="P54" i="6"/>
  <c r="O55" i="6"/>
  <c r="W57" i="6"/>
  <c r="V58" i="6"/>
  <c r="AH54" i="6" l="1"/>
  <c r="AG54" i="6"/>
  <c r="AF54" i="6"/>
  <c r="AE54" i="6"/>
  <c r="AI54" i="6"/>
  <c r="W58" i="6"/>
  <c r="V59" i="6"/>
  <c r="P55" i="6"/>
  <c r="O56" i="6"/>
  <c r="AG55" i="6" l="1"/>
  <c r="AF55" i="6"/>
  <c r="AE55" i="6"/>
  <c r="AH55" i="6"/>
  <c r="AI55" i="6"/>
  <c r="O57" i="6"/>
  <c r="P56" i="6"/>
  <c r="V60" i="6"/>
  <c r="W59" i="6"/>
  <c r="AG56" i="6" l="1"/>
  <c r="AF56" i="6"/>
  <c r="AI56" i="6"/>
  <c r="AH56" i="6"/>
  <c r="AE56" i="6"/>
  <c r="V61" i="6"/>
  <c r="W60" i="6"/>
  <c r="O58" i="6"/>
  <c r="P57" i="6"/>
  <c r="AE57" i="6" l="1"/>
  <c r="AH57" i="6"/>
  <c r="AF57" i="6"/>
  <c r="AI57" i="6"/>
  <c r="AG57" i="6"/>
  <c r="P58" i="6"/>
  <c r="O59" i="6"/>
  <c r="W61" i="6"/>
  <c r="V62" i="6"/>
  <c r="AG58" i="6" l="1"/>
  <c r="AE58" i="6"/>
  <c r="AI58" i="6"/>
  <c r="AH58" i="6"/>
  <c r="AF58" i="6"/>
  <c r="W62" i="6"/>
  <c r="V63" i="6"/>
  <c r="P59" i="6"/>
  <c r="O60" i="6"/>
  <c r="AF59" i="6" l="1"/>
  <c r="AH59" i="6"/>
  <c r="AE59" i="6"/>
  <c r="AG59" i="6"/>
  <c r="AI59" i="6"/>
  <c r="V64" i="6"/>
  <c r="W63" i="6"/>
  <c r="O61" i="6"/>
  <c r="P60" i="6"/>
  <c r="AG60" i="6" l="1"/>
  <c r="AF60" i="6"/>
  <c r="AE60" i="6"/>
  <c r="AI60" i="6"/>
  <c r="AH60" i="6"/>
  <c r="O62" i="6"/>
  <c r="P61" i="6"/>
  <c r="V65" i="6"/>
  <c r="W64" i="6"/>
  <c r="AF61" i="6" l="1"/>
  <c r="AE61" i="6"/>
  <c r="AH61" i="6"/>
  <c r="AG61" i="6"/>
  <c r="AI61" i="6"/>
  <c r="W65" i="6"/>
  <c r="V66" i="6"/>
  <c r="P62" i="6"/>
  <c r="O63" i="6"/>
  <c r="AH62" i="6" l="1"/>
  <c r="AG62" i="6"/>
  <c r="AF62" i="6"/>
  <c r="AE62" i="6"/>
  <c r="AI62" i="6"/>
  <c r="P63" i="6"/>
  <c r="O64" i="6"/>
  <c r="W66" i="6"/>
  <c r="V67" i="6"/>
  <c r="AF63" i="6" l="1"/>
  <c r="AG63" i="6"/>
  <c r="AE63" i="6"/>
  <c r="AH63" i="6"/>
  <c r="AI63" i="6"/>
  <c r="O65" i="6"/>
  <c r="P64" i="6"/>
  <c r="V68" i="6"/>
  <c r="W67" i="6"/>
  <c r="AF64" i="6" l="1"/>
  <c r="AE64" i="6"/>
  <c r="AH64" i="6"/>
  <c r="AG64" i="6"/>
  <c r="AI64" i="6"/>
  <c r="V69" i="6"/>
  <c r="W68" i="6"/>
  <c r="O66" i="6"/>
  <c r="P65" i="6"/>
  <c r="AG65" i="6" l="1"/>
  <c r="AE65" i="6"/>
  <c r="AF65" i="6"/>
  <c r="AH65" i="6"/>
  <c r="AI65" i="6"/>
  <c r="P66" i="6"/>
  <c r="O67" i="6"/>
  <c r="W69" i="6"/>
  <c r="V70" i="6"/>
  <c r="AH66" i="6" l="1"/>
  <c r="AI66" i="6"/>
  <c r="AG66" i="6"/>
  <c r="AF66" i="6"/>
  <c r="AE66" i="6"/>
  <c r="V71" i="6"/>
  <c r="W70" i="6"/>
  <c r="P67" i="6"/>
  <c r="O68" i="6"/>
  <c r="AH67" i="6" l="1"/>
  <c r="AG67" i="6"/>
  <c r="AF67" i="6"/>
  <c r="AE67" i="6"/>
  <c r="AI67" i="6"/>
  <c r="O69" i="6"/>
  <c r="P68" i="6"/>
  <c r="V72" i="6"/>
  <c r="W71" i="6"/>
  <c r="AI68" i="6" l="1"/>
  <c r="AH68" i="6"/>
  <c r="AG68" i="6"/>
  <c r="AF68" i="6"/>
  <c r="AE68" i="6"/>
  <c r="V73" i="6"/>
  <c r="W72" i="6"/>
  <c r="O70" i="6"/>
  <c r="P69" i="6"/>
  <c r="AI69" i="6" l="1"/>
  <c r="AF69" i="6"/>
  <c r="AE69" i="6"/>
  <c r="AG69" i="6"/>
  <c r="AH69" i="6"/>
  <c r="P70" i="6"/>
  <c r="O71" i="6"/>
  <c r="V74" i="6"/>
  <c r="W73" i="6"/>
  <c r="AH70" i="6" l="1"/>
  <c r="AF70" i="6"/>
  <c r="AE70" i="6"/>
  <c r="AI70" i="6"/>
  <c r="AG70" i="6"/>
  <c r="O72" i="6"/>
  <c r="P71" i="6"/>
  <c r="W74" i="6"/>
  <c r="V75" i="6"/>
  <c r="AG71" i="6" l="1"/>
  <c r="AH71" i="6"/>
  <c r="AF71" i="6"/>
  <c r="AI71" i="6"/>
  <c r="AE71" i="6"/>
  <c r="W75" i="6"/>
  <c r="V76" i="6"/>
  <c r="O73" i="6"/>
  <c r="P72" i="6"/>
  <c r="AF72" i="6" l="1"/>
  <c r="AG72" i="6"/>
  <c r="AH72" i="6"/>
  <c r="AE72" i="6"/>
  <c r="AI72" i="6"/>
  <c r="V77" i="6"/>
  <c r="W76" i="6"/>
  <c r="O74" i="6"/>
  <c r="P73" i="6"/>
  <c r="AF73" i="6" l="1"/>
  <c r="AE73" i="6"/>
  <c r="AH73" i="6"/>
  <c r="AG73" i="6"/>
  <c r="AI73" i="6"/>
  <c r="P74" i="6"/>
  <c r="O75" i="6"/>
  <c r="V78" i="6"/>
  <c r="W77" i="6"/>
  <c r="AE74" i="6" l="1"/>
  <c r="AI74" i="6"/>
  <c r="AF74" i="6"/>
  <c r="AH74" i="6"/>
  <c r="AG74" i="6"/>
  <c r="P75" i="6"/>
  <c r="O76" i="6"/>
  <c r="W78" i="6"/>
  <c r="V79" i="6"/>
  <c r="AF75" i="6" l="1"/>
  <c r="AI75" i="6"/>
  <c r="AE75" i="6"/>
  <c r="AG75" i="6"/>
  <c r="AH75" i="6"/>
  <c r="V80" i="6"/>
  <c r="W79" i="6"/>
  <c r="O77" i="6"/>
  <c r="P76" i="6"/>
  <c r="AG76" i="6" l="1"/>
  <c r="AF76" i="6"/>
  <c r="AE76" i="6"/>
  <c r="AI76" i="6"/>
  <c r="AH76" i="6"/>
  <c r="O78" i="6"/>
  <c r="P77" i="6"/>
  <c r="V81" i="6"/>
  <c r="W80" i="6"/>
  <c r="AI77" i="6" l="1"/>
  <c r="AF77" i="6"/>
  <c r="AE77" i="6"/>
  <c r="AG77" i="6"/>
  <c r="AH77" i="6"/>
  <c r="W81" i="6"/>
  <c r="V82" i="6"/>
  <c r="P78" i="6"/>
  <c r="O79" i="6"/>
  <c r="AH78" i="6" l="1"/>
  <c r="AF78" i="6"/>
  <c r="AE78" i="6"/>
  <c r="AG78" i="6"/>
  <c r="AI78" i="6"/>
  <c r="P79" i="6"/>
  <c r="O80" i="6"/>
  <c r="W82" i="6"/>
  <c r="V83" i="6"/>
  <c r="AH79" i="6" l="1"/>
  <c r="AG79" i="6"/>
  <c r="AF79" i="6"/>
  <c r="AI79" i="6"/>
  <c r="AE79" i="6"/>
  <c r="P80" i="6"/>
  <c r="O81" i="6"/>
  <c r="V84" i="6"/>
  <c r="W83" i="6"/>
  <c r="AF80" i="6" l="1"/>
  <c r="AH80" i="6"/>
  <c r="AE80" i="6"/>
  <c r="AG80" i="6"/>
  <c r="AI80" i="6"/>
  <c r="O82" i="6"/>
  <c r="P81" i="6"/>
  <c r="V85" i="6"/>
  <c r="W84" i="6"/>
  <c r="AE81" i="6" l="1"/>
  <c r="AI81" i="6"/>
  <c r="AF81" i="6"/>
  <c r="AG81" i="6"/>
  <c r="AH81" i="6"/>
  <c r="W85" i="6"/>
  <c r="V86" i="6"/>
  <c r="O83" i="6"/>
  <c r="P82" i="6"/>
  <c r="AH82" i="6" l="1"/>
  <c r="AE82" i="6"/>
  <c r="AG82" i="6"/>
  <c r="AF82" i="6"/>
  <c r="AI82" i="6"/>
  <c r="W86" i="6"/>
  <c r="V87" i="6"/>
  <c r="P83" i="6"/>
  <c r="O84" i="6"/>
  <c r="AH83" i="6" l="1"/>
  <c r="AG83" i="6"/>
  <c r="AI83" i="6"/>
  <c r="AF83" i="6"/>
  <c r="AE83" i="6"/>
  <c r="W87" i="6"/>
  <c r="V88" i="6"/>
  <c r="P84" i="6"/>
  <c r="O85" i="6"/>
  <c r="AG84" i="6" l="1"/>
  <c r="AF84" i="6"/>
  <c r="AE84" i="6"/>
  <c r="AI84" i="6"/>
  <c r="AH84" i="6"/>
  <c r="O86" i="6"/>
  <c r="P85" i="6"/>
  <c r="V89" i="6"/>
  <c r="W88" i="6"/>
  <c r="AG85" i="6" l="1"/>
  <c r="AE85" i="6"/>
  <c r="AI85" i="6"/>
  <c r="AH85" i="6"/>
  <c r="AF85" i="6"/>
  <c r="V90" i="6"/>
  <c r="W89" i="6"/>
  <c r="O87" i="6"/>
  <c r="P86" i="6"/>
  <c r="AH86" i="6" l="1"/>
  <c r="AG86" i="6"/>
  <c r="AF86" i="6"/>
  <c r="AE86" i="6"/>
  <c r="AI86" i="6"/>
  <c r="P87" i="6"/>
  <c r="O88" i="6"/>
  <c r="W90" i="6"/>
  <c r="V91" i="6"/>
  <c r="AG87" i="6" l="1"/>
  <c r="AE87" i="6"/>
  <c r="AF87" i="6"/>
  <c r="AI87" i="6"/>
  <c r="AH87" i="6"/>
  <c r="O89" i="6"/>
  <c r="P88" i="6"/>
  <c r="W91" i="6"/>
  <c r="V92" i="6"/>
  <c r="AI88" i="6" l="1"/>
  <c r="AF88" i="6"/>
  <c r="AE88" i="6"/>
  <c r="AH88" i="6"/>
  <c r="AG88" i="6"/>
  <c r="V93" i="6"/>
  <c r="W92" i="6"/>
  <c r="O90" i="6"/>
  <c r="P89" i="6"/>
  <c r="AI89" i="6" l="1"/>
  <c r="AH89" i="6"/>
  <c r="AG89" i="6"/>
  <c r="AF89" i="6"/>
  <c r="AE89" i="6"/>
  <c r="P90" i="6"/>
  <c r="O91" i="6"/>
  <c r="W93" i="6"/>
  <c r="V94" i="6"/>
  <c r="AE90" i="6" l="1"/>
  <c r="AG90" i="6"/>
  <c r="AF90" i="6"/>
  <c r="AI90" i="6"/>
  <c r="AH90" i="6"/>
  <c r="P91" i="6"/>
  <c r="O92" i="6"/>
  <c r="W94" i="6"/>
  <c r="V95" i="6"/>
  <c r="AH91" i="6" l="1"/>
  <c r="AG91" i="6"/>
  <c r="AF91" i="6"/>
  <c r="AE91" i="6"/>
  <c r="AI91" i="6"/>
  <c r="V96" i="6"/>
  <c r="W95" i="6"/>
  <c r="O93" i="6"/>
  <c r="P92" i="6"/>
  <c r="AF92" i="6" l="1"/>
  <c r="AE92" i="6"/>
  <c r="AI92" i="6"/>
  <c r="AH92" i="6"/>
  <c r="AG92" i="6"/>
  <c r="O94" i="6"/>
  <c r="P93" i="6"/>
  <c r="V97" i="6"/>
  <c r="W96" i="6"/>
  <c r="AF93" i="6" l="1"/>
  <c r="AE93" i="6"/>
  <c r="AH93" i="6"/>
  <c r="AG93" i="6"/>
  <c r="AI93" i="6"/>
  <c r="W97" i="6"/>
  <c r="V98" i="6"/>
  <c r="P94" i="6"/>
  <c r="O95" i="6"/>
  <c r="AI94" i="6" l="1"/>
  <c r="AH94" i="6"/>
  <c r="AF94" i="6"/>
  <c r="AG94" i="6"/>
  <c r="AE94" i="6"/>
  <c r="W98" i="6"/>
  <c r="V99" i="6"/>
  <c r="P95" i="6"/>
  <c r="O96" i="6"/>
  <c r="AG95" i="6" l="1"/>
  <c r="AE95" i="6"/>
  <c r="AF95" i="6"/>
  <c r="AI95" i="6"/>
  <c r="AH95" i="6"/>
  <c r="V100" i="6"/>
  <c r="W99" i="6"/>
  <c r="P96" i="6"/>
  <c r="O97" i="6"/>
  <c r="AH96" i="6" l="1"/>
  <c r="AF96" i="6"/>
  <c r="AE96" i="6"/>
  <c r="AG96" i="6"/>
  <c r="AI96" i="6"/>
  <c r="O98" i="6"/>
  <c r="P97" i="6"/>
  <c r="V101" i="6"/>
  <c r="W100" i="6"/>
  <c r="AE97" i="6" l="1"/>
  <c r="AI97" i="6"/>
  <c r="AH97" i="6"/>
  <c r="AG97" i="6"/>
  <c r="AF97" i="6"/>
  <c r="W101" i="6"/>
  <c r="V102" i="6"/>
  <c r="O99" i="6"/>
  <c r="P98" i="6"/>
  <c r="AE98" i="6" l="1"/>
  <c r="AG98" i="6"/>
  <c r="AF98" i="6"/>
  <c r="AI98" i="6"/>
  <c r="AH98" i="6"/>
  <c r="P99" i="6"/>
  <c r="O100" i="6"/>
  <c r="W102" i="6"/>
  <c r="V103" i="6"/>
  <c r="AH99" i="6" l="1"/>
  <c r="AG99" i="6"/>
  <c r="AI99" i="6"/>
  <c r="AF99" i="6"/>
  <c r="AE99" i="6"/>
  <c r="P100" i="6"/>
  <c r="O101" i="6"/>
  <c r="W103" i="6"/>
  <c r="V104" i="6"/>
  <c r="AG100" i="6" l="1"/>
  <c r="AF100" i="6"/>
  <c r="AE100" i="6"/>
  <c r="AI100" i="6"/>
  <c r="AH100" i="6"/>
  <c r="V105" i="6"/>
  <c r="W104" i="6"/>
  <c r="O102" i="6"/>
  <c r="P101" i="6"/>
  <c r="AF101" i="6" l="1"/>
  <c r="AE101" i="6"/>
  <c r="AH101" i="6"/>
  <c r="AG101" i="6"/>
  <c r="AI101" i="6"/>
  <c r="P102" i="6"/>
  <c r="O103" i="6"/>
  <c r="V106" i="6"/>
  <c r="W105" i="6"/>
  <c r="AI102" i="6" l="1"/>
  <c r="AH102" i="6"/>
  <c r="AG102" i="6"/>
  <c r="AF102" i="6"/>
  <c r="AE102" i="6"/>
  <c r="W106" i="6"/>
  <c r="V107" i="6"/>
  <c r="P103" i="6"/>
  <c r="O104" i="6"/>
  <c r="AH103" i="6" l="1"/>
  <c r="AG103" i="6"/>
  <c r="AF103" i="6"/>
  <c r="AI103" i="6"/>
  <c r="AE103" i="6"/>
  <c r="W107" i="6"/>
  <c r="V108" i="6"/>
  <c r="O105" i="6"/>
  <c r="P104" i="6"/>
  <c r="AI104" i="6" l="1"/>
  <c r="AF104" i="6"/>
  <c r="AE104" i="6"/>
  <c r="AH104" i="6"/>
  <c r="AG104" i="6"/>
  <c r="O106" i="6"/>
  <c r="P105" i="6"/>
  <c r="V109" i="6"/>
  <c r="W108" i="6"/>
  <c r="AE105" i="6" l="1"/>
  <c r="AI105" i="6"/>
  <c r="AH105" i="6"/>
  <c r="AG105" i="6"/>
  <c r="AF105" i="6"/>
  <c r="V110" i="6"/>
  <c r="W109" i="6"/>
  <c r="P106" i="6"/>
  <c r="O107" i="6"/>
  <c r="AH106" i="6" l="1"/>
  <c r="AG106" i="6"/>
  <c r="AE106" i="6"/>
  <c r="AF106" i="6"/>
  <c r="AI106" i="6"/>
  <c r="P107" i="6"/>
  <c r="O108" i="6"/>
  <c r="W110" i="6"/>
  <c r="V111" i="6"/>
  <c r="AH107" i="6" l="1"/>
  <c r="AG107" i="6"/>
  <c r="AE107" i="6"/>
  <c r="AI107" i="6"/>
  <c r="AF107" i="6"/>
  <c r="V112" i="6"/>
  <c r="W111" i="6"/>
  <c r="O109" i="6"/>
  <c r="P108" i="6"/>
  <c r="AF108" i="6" l="1"/>
  <c r="AE108" i="6"/>
  <c r="AI108" i="6"/>
  <c r="AH108" i="6"/>
  <c r="AG108" i="6"/>
  <c r="O110" i="6"/>
  <c r="P109" i="6"/>
  <c r="W112" i="6"/>
  <c r="V113" i="6"/>
  <c r="AE109" i="6" l="1"/>
  <c r="AF109" i="6"/>
  <c r="AG109" i="6"/>
  <c r="AI109" i="6"/>
  <c r="AH109" i="6"/>
  <c r="V114" i="6"/>
  <c r="W113" i="6"/>
  <c r="P110" i="6"/>
  <c r="O111" i="6"/>
  <c r="AI110" i="6" l="1"/>
  <c r="AH110" i="6"/>
  <c r="AG110" i="6"/>
  <c r="AF110" i="6"/>
  <c r="AE110" i="6"/>
  <c r="P111" i="6"/>
  <c r="O112" i="6"/>
  <c r="W114" i="6"/>
  <c r="V115" i="6"/>
  <c r="AG111" i="6" l="1"/>
  <c r="AF111" i="6"/>
  <c r="AE111" i="6"/>
  <c r="AI111" i="6"/>
  <c r="AH111" i="6"/>
  <c r="O113" i="6"/>
  <c r="P112" i="6"/>
  <c r="V116" i="6"/>
  <c r="W115" i="6"/>
  <c r="AG112" i="6" l="1"/>
  <c r="AF112" i="6"/>
  <c r="AE112" i="6"/>
  <c r="AH112" i="6"/>
  <c r="AI112" i="6"/>
  <c r="W116" i="6"/>
  <c r="V117" i="6"/>
  <c r="P113" i="6"/>
  <c r="O114" i="6"/>
  <c r="AG113" i="6" l="1"/>
  <c r="AF113" i="6"/>
  <c r="AE113" i="6"/>
  <c r="AI113" i="6"/>
  <c r="AH113" i="6"/>
  <c r="W117" i="6"/>
  <c r="V118" i="6"/>
  <c r="O115" i="6"/>
  <c r="P114" i="6"/>
  <c r="AE114" i="6" l="1"/>
  <c r="AF114" i="6"/>
  <c r="AI114" i="6"/>
  <c r="AH114" i="6"/>
  <c r="AG114" i="6"/>
  <c r="O116" i="6"/>
  <c r="P115" i="6"/>
  <c r="V119" i="6"/>
  <c r="W118" i="6"/>
  <c r="AI115" i="6" l="1"/>
  <c r="AH115" i="6"/>
  <c r="AG115" i="6"/>
  <c r="AF115" i="6"/>
  <c r="AE115" i="6"/>
  <c r="V120" i="6"/>
  <c r="W119" i="6"/>
  <c r="O117" i="6"/>
  <c r="P116" i="6"/>
  <c r="AG116" i="6" l="1"/>
  <c r="AG117" i="6" s="1"/>
  <c r="AG118" i="6" s="1"/>
  <c r="AF116" i="6"/>
  <c r="AE116" i="6"/>
  <c r="AE117" i="6" s="1"/>
  <c r="AE118" i="6" s="1"/>
  <c r="AI116" i="6"/>
  <c r="AI117" i="6" s="1"/>
  <c r="AI118" i="6" s="1"/>
  <c r="AH116" i="6"/>
  <c r="AH117" i="6" s="1"/>
  <c r="AH118" i="6" s="1"/>
  <c r="P117" i="6"/>
  <c r="O118" i="6"/>
  <c r="W120" i="6"/>
  <c r="V121" i="6"/>
  <c r="AF117" i="6" l="1"/>
  <c r="AF118" i="6" s="1"/>
  <c r="P118" i="6"/>
  <c r="O119" i="6"/>
  <c r="W121" i="6"/>
  <c r="V122" i="6"/>
  <c r="V123" i="6" l="1"/>
  <c r="W122" i="6"/>
  <c r="P119" i="6"/>
  <c r="O120" i="6"/>
  <c r="AI119" i="6" l="1"/>
  <c r="AH119" i="6"/>
  <c r="AG119" i="6"/>
  <c r="AF119" i="6"/>
  <c r="AE119" i="6"/>
  <c r="O121" i="6"/>
  <c r="P120" i="6"/>
  <c r="V124" i="6"/>
  <c r="W123" i="6"/>
  <c r="AE120" i="6" l="1"/>
  <c r="AI120" i="6"/>
  <c r="AH120" i="6"/>
  <c r="AG120" i="6"/>
  <c r="AF120" i="6"/>
  <c r="W124" i="6"/>
  <c r="V125" i="6"/>
  <c r="O122" i="6"/>
  <c r="P121" i="6"/>
  <c r="AH121" i="6" l="1"/>
  <c r="AG121" i="6"/>
  <c r="AF121" i="6"/>
  <c r="AE121" i="6"/>
  <c r="AI121" i="6"/>
  <c r="P122" i="6"/>
  <c r="O123" i="6"/>
  <c r="W125" i="6"/>
  <c r="V126" i="6"/>
  <c r="AF122" i="6" l="1"/>
  <c r="AE122" i="6"/>
  <c r="AI122" i="6"/>
  <c r="AH122" i="6"/>
  <c r="AG122" i="6"/>
  <c r="P123" i="6"/>
  <c r="O124" i="6"/>
  <c r="W126" i="6"/>
  <c r="V127" i="6"/>
  <c r="AI123" i="6" l="1"/>
  <c r="AH123" i="6"/>
  <c r="AF123" i="6"/>
  <c r="AE123" i="6"/>
  <c r="AG123" i="6"/>
  <c r="V128" i="6"/>
  <c r="W127" i="6"/>
  <c r="O125" i="6"/>
  <c r="P124" i="6"/>
  <c r="AF124" i="6" l="1"/>
  <c r="AE124" i="6"/>
  <c r="AI124" i="6"/>
  <c r="AH124" i="6"/>
  <c r="AG124" i="6"/>
  <c r="P125" i="6"/>
  <c r="O126" i="6"/>
  <c r="V129" i="6"/>
  <c r="W128" i="6"/>
  <c r="AH125" i="6" l="1"/>
  <c r="AG125" i="6"/>
  <c r="AF125" i="6"/>
  <c r="AI125" i="6"/>
  <c r="AE125" i="6"/>
  <c r="W129" i="6"/>
  <c r="V130" i="6"/>
  <c r="P126" i="6"/>
  <c r="O127" i="6"/>
  <c r="AI126" i="6" l="1"/>
  <c r="AF126" i="6"/>
  <c r="AH126" i="6"/>
  <c r="AE126" i="6"/>
  <c r="AG126" i="6"/>
  <c r="W130" i="6"/>
  <c r="V131" i="6"/>
  <c r="O128" i="6"/>
  <c r="P127" i="6"/>
  <c r="AF127" i="6" l="1"/>
  <c r="AE127" i="6"/>
  <c r="AH127" i="6"/>
  <c r="AG127" i="6"/>
  <c r="AI127" i="6"/>
  <c r="O129" i="6"/>
  <c r="P128" i="6"/>
  <c r="V132" i="6"/>
  <c r="W131" i="6"/>
  <c r="AH128" i="6" l="1"/>
  <c r="AG128" i="6"/>
  <c r="AE128" i="6"/>
  <c r="AF128" i="6"/>
  <c r="AI128" i="6"/>
  <c r="V133" i="6"/>
  <c r="W132" i="6"/>
  <c r="P129" i="6"/>
  <c r="O130" i="6"/>
  <c r="AH129" i="6" l="1"/>
  <c r="AG129" i="6"/>
  <c r="AF129" i="6"/>
  <c r="AE129" i="6"/>
  <c r="AI129" i="6"/>
  <c r="P130" i="6"/>
  <c r="O131" i="6"/>
  <c r="W133" i="6"/>
  <c r="V134" i="6"/>
  <c r="AH130" i="6" l="1"/>
  <c r="AG130" i="6"/>
  <c r="AF130" i="6"/>
  <c r="AE130" i="6"/>
  <c r="AI130" i="6"/>
  <c r="O132" i="6"/>
  <c r="P131" i="6"/>
  <c r="V135" i="6"/>
  <c r="W134" i="6"/>
  <c r="AI131" i="6" l="1"/>
  <c r="AH131" i="6"/>
  <c r="AF131" i="6"/>
  <c r="AE131" i="6"/>
  <c r="AG131" i="6"/>
  <c r="V136" i="6"/>
  <c r="W135" i="6"/>
  <c r="O133" i="6"/>
  <c r="P132" i="6"/>
  <c r="AF132" i="6" l="1"/>
  <c r="AE132" i="6"/>
  <c r="AI132" i="6"/>
  <c r="AH132" i="6"/>
  <c r="AG132" i="6"/>
  <c r="P133" i="6"/>
  <c r="O134" i="6"/>
  <c r="W136" i="6"/>
  <c r="V137" i="6"/>
  <c r="AH133" i="6" l="1"/>
  <c r="AG133" i="6"/>
  <c r="AF133" i="6"/>
  <c r="AI133" i="6"/>
  <c r="AE133" i="6"/>
  <c r="W137" i="6"/>
  <c r="V138" i="6"/>
  <c r="P134" i="6"/>
  <c r="O135" i="6"/>
  <c r="AF134" i="6" l="1"/>
  <c r="AI134" i="6"/>
  <c r="AG134" i="6"/>
  <c r="AE134" i="6"/>
  <c r="AH134" i="6"/>
  <c r="P135" i="6"/>
  <c r="O136" i="6"/>
  <c r="V139" i="6"/>
  <c r="W138" i="6"/>
  <c r="AG135" i="6" l="1"/>
  <c r="AF135" i="6"/>
  <c r="AE135" i="6"/>
  <c r="AI135" i="6"/>
  <c r="AH135" i="6"/>
  <c r="O137" i="6"/>
  <c r="P136" i="6"/>
  <c r="V140" i="6"/>
  <c r="W139" i="6"/>
  <c r="AH136" i="6" l="1"/>
  <c r="AG136" i="6"/>
  <c r="AE136" i="6"/>
  <c r="AF136" i="6"/>
  <c r="AI136" i="6"/>
  <c r="W140" i="6"/>
  <c r="V141" i="6"/>
  <c r="O138" i="6"/>
  <c r="P137" i="6"/>
  <c r="AI137" i="6" l="1"/>
  <c r="AF137" i="6"/>
  <c r="AG137" i="6"/>
  <c r="AE137" i="6"/>
  <c r="AH137" i="6"/>
  <c r="W141" i="6"/>
  <c r="V142" i="6"/>
  <c r="P138" i="6"/>
  <c r="O139" i="6"/>
  <c r="AG138" i="6" l="1"/>
  <c r="AF138" i="6"/>
  <c r="AE138" i="6"/>
  <c r="AH138" i="6"/>
  <c r="AI138" i="6"/>
  <c r="P139" i="6"/>
  <c r="O140" i="6"/>
  <c r="W142" i="6"/>
  <c r="V143" i="6"/>
  <c r="AI139" i="6" l="1"/>
  <c r="AH139" i="6"/>
  <c r="AF139" i="6"/>
  <c r="AE139" i="6"/>
  <c r="AG139" i="6"/>
  <c r="V144" i="6"/>
  <c r="W143" i="6"/>
  <c r="O141" i="6"/>
  <c r="P140" i="6"/>
  <c r="AF140" i="6" l="1"/>
  <c r="AE140" i="6"/>
  <c r="AI140" i="6"/>
  <c r="AH140" i="6"/>
  <c r="AG140" i="6"/>
  <c r="O142" i="6"/>
  <c r="P141" i="6"/>
  <c r="V145" i="6"/>
  <c r="W144" i="6"/>
  <c r="AH141" i="6" l="1"/>
  <c r="AG141" i="6"/>
  <c r="AF141" i="6"/>
  <c r="AI141" i="6"/>
  <c r="AE141" i="6"/>
  <c r="W145" i="6"/>
  <c r="V146" i="6"/>
  <c r="P142" i="6"/>
  <c r="O143" i="6"/>
  <c r="AE142" i="6" l="1"/>
  <c r="AI142" i="6"/>
  <c r="AG142" i="6"/>
  <c r="AF142" i="6"/>
  <c r="AH142" i="6"/>
  <c r="O144" i="6"/>
  <c r="P143" i="6"/>
  <c r="W146" i="6"/>
  <c r="V147" i="6"/>
  <c r="AG143" i="6" l="1"/>
  <c r="AF143" i="6"/>
  <c r="AE143" i="6"/>
  <c r="AI143" i="6"/>
  <c r="AH143" i="6"/>
  <c r="V148" i="6"/>
  <c r="W147" i="6"/>
  <c r="O145" i="6"/>
  <c r="P144" i="6"/>
  <c r="AH144" i="6" l="1"/>
  <c r="AG144" i="6"/>
  <c r="AE144" i="6"/>
  <c r="AF144" i="6"/>
  <c r="AI144" i="6"/>
  <c r="P145" i="6"/>
  <c r="O146" i="6"/>
  <c r="W148" i="6"/>
  <c r="V149" i="6"/>
  <c r="AG145" i="6" l="1"/>
  <c r="AF145" i="6"/>
  <c r="AE145" i="6"/>
  <c r="AI145" i="6"/>
  <c r="AH145" i="6"/>
  <c r="V150" i="6"/>
  <c r="W149" i="6"/>
  <c r="P146" i="6"/>
  <c r="O147" i="6"/>
  <c r="AH146" i="6" l="1"/>
  <c r="AH147" i="6" s="1"/>
  <c r="AH148" i="6" s="1"/>
  <c r="AG146" i="6"/>
  <c r="AG147" i="6" s="1"/>
  <c r="AG148" i="6" s="1"/>
  <c r="AF146" i="6"/>
  <c r="AF147" i="6" s="1"/>
  <c r="AF148" i="6" s="1"/>
  <c r="AE146" i="6"/>
  <c r="AE147" i="6" s="1"/>
  <c r="AE148" i="6" s="1"/>
  <c r="AI146" i="6"/>
  <c r="AI147" i="6" s="1"/>
  <c r="AI148" i="6" s="1"/>
  <c r="O148" i="6"/>
  <c r="P147" i="6"/>
  <c r="V151" i="6"/>
  <c r="W150" i="6"/>
  <c r="V152" i="6" l="1"/>
  <c r="W151" i="6"/>
  <c r="O149" i="6"/>
  <c r="P148" i="6"/>
  <c r="P149" i="6" l="1"/>
  <c r="O150" i="6"/>
  <c r="V153" i="6"/>
  <c r="W152" i="6"/>
  <c r="AG149" i="6" l="1"/>
  <c r="AF149" i="6"/>
  <c r="AE149" i="6"/>
  <c r="AI149" i="6"/>
  <c r="AH149" i="6"/>
  <c r="W153" i="6"/>
  <c r="V154" i="6"/>
  <c r="O151" i="6"/>
  <c r="P150" i="6"/>
  <c r="AH150" i="6" l="1"/>
  <c r="AF150" i="6"/>
  <c r="AE150" i="6"/>
  <c r="AG150" i="6"/>
  <c r="AI150" i="6"/>
  <c r="P151" i="6"/>
  <c r="O152" i="6"/>
  <c r="W154" i="6"/>
  <c r="V155" i="6"/>
  <c r="AI151" i="6" l="1"/>
  <c r="AH151" i="6"/>
  <c r="AF151" i="6"/>
  <c r="AG151" i="6"/>
  <c r="AE151" i="6"/>
  <c r="V156" i="6"/>
  <c r="W155" i="6"/>
  <c r="P152" i="6"/>
  <c r="O153" i="6"/>
  <c r="AI152" i="6" l="1"/>
  <c r="AH152" i="6"/>
  <c r="AG152" i="6"/>
  <c r="AF152" i="6"/>
  <c r="AE152" i="6"/>
  <c r="O154" i="6"/>
  <c r="P153" i="6"/>
  <c r="V157" i="6"/>
  <c r="W156" i="6"/>
  <c r="AE153" i="6" l="1"/>
  <c r="AI153" i="6"/>
  <c r="AH153" i="6"/>
  <c r="AG153" i="6"/>
  <c r="AF153" i="6"/>
  <c r="W157" i="6"/>
  <c r="V158" i="6"/>
  <c r="O155" i="6"/>
  <c r="P154" i="6"/>
  <c r="AH154" i="6" l="1"/>
  <c r="AF154" i="6"/>
  <c r="AG154" i="6"/>
  <c r="AE154" i="6"/>
  <c r="AI154" i="6"/>
  <c r="P155" i="6"/>
  <c r="O156" i="6"/>
  <c r="W158" i="6"/>
  <c r="V159" i="6"/>
  <c r="AG155" i="6" l="1"/>
  <c r="AF155" i="6"/>
  <c r="AI155" i="6"/>
  <c r="AE155" i="6"/>
  <c r="AH155" i="6"/>
  <c r="V160" i="6"/>
  <c r="W159" i="6"/>
  <c r="P156" i="6"/>
  <c r="O157" i="6"/>
  <c r="AE156" i="6" l="1"/>
  <c r="AG156" i="6"/>
  <c r="AF156" i="6"/>
  <c r="AH156" i="6"/>
  <c r="AI156" i="6"/>
  <c r="O158" i="6"/>
  <c r="P157" i="6"/>
  <c r="V161" i="6"/>
  <c r="W160" i="6"/>
  <c r="AI157" i="6" l="1"/>
  <c r="AH157" i="6"/>
  <c r="AG157" i="6"/>
  <c r="AE157" i="6"/>
  <c r="AF157" i="6"/>
  <c r="W161" i="6"/>
  <c r="V162" i="6"/>
  <c r="P158" i="6"/>
  <c r="O159" i="6"/>
  <c r="AH158" i="6" l="1"/>
  <c r="AG158" i="6"/>
  <c r="AF158" i="6"/>
  <c r="AE158" i="6"/>
  <c r="AI158" i="6"/>
  <c r="P159" i="6"/>
  <c r="O160" i="6"/>
  <c r="W162" i="6"/>
  <c r="V163" i="6"/>
  <c r="AH159" i="6" l="1"/>
  <c r="AE159" i="6"/>
  <c r="AI159" i="6"/>
  <c r="AG159" i="6"/>
  <c r="AF159" i="6"/>
  <c r="V164" i="6"/>
  <c r="W163" i="6"/>
  <c r="O161" i="6"/>
  <c r="P160" i="6"/>
  <c r="AE160" i="6" l="1"/>
  <c r="AI160" i="6"/>
  <c r="AH160" i="6"/>
  <c r="AG160" i="6"/>
  <c r="AF160" i="6"/>
  <c r="O162" i="6"/>
  <c r="P161" i="6"/>
  <c r="V165" i="6"/>
  <c r="W164" i="6"/>
  <c r="AH161" i="6" l="1"/>
  <c r="AE161" i="6"/>
  <c r="AF161" i="6"/>
  <c r="AG161" i="6"/>
  <c r="AI161" i="6"/>
  <c r="W165" i="6"/>
  <c r="V166" i="6"/>
  <c r="P162" i="6"/>
  <c r="O163" i="6"/>
  <c r="AF162" i="6" l="1"/>
  <c r="AI162" i="6"/>
  <c r="AH162" i="6"/>
  <c r="AG162" i="6"/>
  <c r="AE162" i="6"/>
  <c r="P163" i="6"/>
  <c r="O164" i="6"/>
  <c r="W166" i="6"/>
  <c r="V167" i="6"/>
  <c r="AE163" i="6" l="1"/>
  <c r="AF163" i="6"/>
  <c r="AI163" i="6"/>
  <c r="AH163" i="6"/>
  <c r="AG163" i="6"/>
  <c r="V168" i="6"/>
  <c r="W167" i="6"/>
  <c r="O165" i="6"/>
  <c r="P164" i="6"/>
  <c r="AH164" i="6" l="1"/>
  <c r="AE164" i="6"/>
  <c r="AI164" i="6"/>
  <c r="AG164" i="6"/>
  <c r="AF164" i="6"/>
  <c r="O166" i="6"/>
  <c r="P165" i="6"/>
  <c r="V169" i="6"/>
  <c r="W168" i="6"/>
  <c r="AF165" i="6" l="1"/>
  <c r="AI165" i="6"/>
  <c r="AH165" i="6"/>
  <c r="AE165" i="6"/>
  <c r="AG165" i="6"/>
  <c r="W169" i="6"/>
  <c r="V170" i="6"/>
  <c r="P166" i="6"/>
  <c r="O167" i="6"/>
  <c r="AG166" i="6" l="1"/>
  <c r="AE166" i="6"/>
  <c r="AF166" i="6"/>
  <c r="AI166" i="6"/>
  <c r="AH166" i="6"/>
  <c r="P167" i="6"/>
  <c r="O168" i="6"/>
  <c r="W170" i="6"/>
  <c r="V171" i="6"/>
  <c r="AF167" i="6" l="1"/>
  <c r="AE167" i="6"/>
  <c r="AI167" i="6"/>
  <c r="AG167" i="6"/>
  <c r="AH167" i="6"/>
  <c r="V172" i="6"/>
  <c r="W171" i="6"/>
  <c r="O169" i="6"/>
  <c r="P168" i="6"/>
  <c r="AE168" i="6" l="1"/>
  <c r="AI168" i="6"/>
  <c r="AH168" i="6"/>
  <c r="AF168" i="6"/>
  <c r="AG168" i="6"/>
  <c r="O170" i="6"/>
  <c r="P169" i="6"/>
  <c r="V173" i="6"/>
  <c r="W172" i="6"/>
  <c r="AF169" i="6" l="1"/>
  <c r="AE169" i="6"/>
  <c r="AG169" i="6"/>
  <c r="AI169" i="6"/>
  <c r="AH169" i="6"/>
  <c r="W173" i="6"/>
  <c r="V174" i="6"/>
  <c r="P170" i="6"/>
  <c r="O171" i="6"/>
  <c r="AG170" i="6" l="1"/>
  <c r="AI170" i="6"/>
  <c r="AH170" i="6"/>
  <c r="AF170" i="6"/>
  <c r="AE170" i="6"/>
  <c r="P171" i="6"/>
  <c r="O172" i="6"/>
  <c r="V175" i="6"/>
  <c r="W174" i="6"/>
  <c r="AF171" i="6" l="1"/>
  <c r="AE171" i="6"/>
  <c r="AI171" i="6"/>
  <c r="AH171" i="6"/>
  <c r="AG171" i="6"/>
  <c r="O173" i="6"/>
  <c r="P172" i="6"/>
  <c r="V176" i="6"/>
  <c r="W175" i="6"/>
  <c r="AG172" i="6" l="1"/>
  <c r="AH172" i="6"/>
  <c r="AE172" i="6"/>
  <c r="AF172" i="6"/>
  <c r="AI172" i="6"/>
  <c r="V177" i="6"/>
  <c r="W176" i="6"/>
  <c r="O174" i="6"/>
  <c r="P173" i="6"/>
  <c r="AI173" i="6" l="1"/>
  <c r="AE173" i="6"/>
  <c r="AH173" i="6"/>
  <c r="AG173" i="6"/>
  <c r="AF173" i="6"/>
  <c r="P174" i="6"/>
  <c r="O175" i="6"/>
  <c r="V178" i="6"/>
  <c r="W177" i="6"/>
  <c r="AG174" i="6" l="1"/>
  <c r="AF174" i="6"/>
  <c r="AE174" i="6"/>
  <c r="AI174" i="6"/>
  <c r="AH174" i="6"/>
  <c r="O176" i="6"/>
  <c r="P175" i="6"/>
  <c r="V179" i="6"/>
  <c r="W178" i="6"/>
  <c r="AH175" i="6" l="1"/>
  <c r="AG175" i="6"/>
  <c r="AI175" i="6"/>
  <c r="AF175" i="6"/>
  <c r="AE175" i="6"/>
  <c r="V180" i="6"/>
  <c r="W179" i="6"/>
  <c r="O177" i="6"/>
  <c r="P176" i="6"/>
  <c r="AG176" i="6" l="1"/>
  <c r="AG177" i="6" s="1"/>
  <c r="AH176" i="6"/>
  <c r="AH177" i="6" s="1"/>
  <c r="AF176" i="6"/>
  <c r="AF177" i="6" s="1"/>
  <c r="AE176" i="6"/>
  <c r="AE177" i="6" s="1"/>
  <c r="AI176" i="6"/>
  <c r="AI177" i="6" s="1"/>
  <c r="O178" i="6"/>
  <c r="P177" i="6"/>
  <c r="V181" i="6"/>
  <c r="W180" i="6"/>
  <c r="V182" i="6" l="1"/>
  <c r="W181" i="6"/>
  <c r="O179" i="6"/>
  <c r="P178" i="6"/>
  <c r="AE178" i="6" l="1"/>
  <c r="AI178" i="6"/>
  <c r="AH178" i="6"/>
  <c r="AF178" i="6"/>
  <c r="AG178" i="6"/>
  <c r="O180" i="6"/>
  <c r="P179" i="6"/>
  <c r="V183" i="6"/>
  <c r="W182" i="6"/>
  <c r="AH179" i="6" l="1"/>
  <c r="AH180" i="6" s="1"/>
  <c r="AH181" i="6" s="1"/>
  <c r="AH182" i="6" s="1"/>
  <c r="AH183" i="6" s="1"/>
  <c r="AH184" i="6" s="1"/>
  <c r="AH185" i="6" s="1"/>
  <c r="AH186" i="6" s="1"/>
  <c r="AH187" i="6" s="1"/>
  <c r="AG179" i="6"/>
  <c r="AG180" i="6" s="1"/>
  <c r="AG181" i="6" s="1"/>
  <c r="AG182" i="6" s="1"/>
  <c r="AG183" i="6" s="1"/>
  <c r="AG184" i="6" s="1"/>
  <c r="AG185" i="6" s="1"/>
  <c r="AG186" i="6" s="1"/>
  <c r="AG187" i="6" s="1"/>
  <c r="AF179" i="6"/>
  <c r="AF180" i="6" s="1"/>
  <c r="AF181" i="6" s="1"/>
  <c r="AF182" i="6" s="1"/>
  <c r="AF183" i="6" s="1"/>
  <c r="AF184" i="6" s="1"/>
  <c r="AF185" i="6" s="1"/>
  <c r="AF186" i="6" s="1"/>
  <c r="AF187" i="6" s="1"/>
  <c r="AE179" i="6"/>
  <c r="AE180" i="6" s="1"/>
  <c r="AE181" i="6" s="1"/>
  <c r="AE182" i="6" s="1"/>
  <c r="AE183" i="6" s="1"/>
  <c r="AE184" i="6" s="1"/>
  <c r="AE185" i="6" s="1"/>
  <c r="AE186" i="6" s="1"/>
  <c r="AE187" i="6" s="1"/>
  <c r="AI179" i="6"/>
  <c r="AI180" i="6" s="1"/>
  <c r="AI181" i="6" s="1"/>
  <c r="AI182" i="6" s="1"/>
  <c r="AI183" i="6" s="1"/>
  <c r="AI184" i="6" s="1"/>
  <c r="AI185" i="6" s="1"/>
  <c r="AI186" i="6" s="1"/>
  <c r="AI187" i="6" s="1"/>
  <c r="V184" i="6"/>
  <c r="W183" i="6"/>
  <c r="O181" i="6"/>
  <c r="P180" i="6"/>
  <c r="O182" i="6" l="1"/>
  <c r="P181" i="6"/>
  <c r="V185" i="6"/>
  <c r="W184" i="6"/>
  <c r="V186" i="6" l="1"/>
  <c r="W185" i="6"/>
  <c r="O183" i="6"/>
  <c r="P182" i="6"/>
  <c r="O184" i="6" l="1"/>
  <c r="P183" i="6"/>
  <c r="W186" i="6"/>
  <c r="V187" i="6"/>
  <c r="V188" i="6" l="1"/>
  <c r="W187" i="6"/>
  <c r="O185" i="6"/>
  <c r="P184" i="6"/>
  <c r="O186" i="6" l="1"/>
  <c r="P185" i="6"/>
  <c r="V189" i="6"/>
  <c r="W188" i="6"/>
  <c r="W189" i="6" l="1"/>
  <c r="V190" i="6"/>
  <c r="O187" i="6"/>
  <c r="P186" i="6"/>
  <c r="P187" i="6" l="1"/>
  <c r="O188" i="6"/>
  <c r="W190" i="6"/>
  <c r="V191" i="6"/>
  <c r="V192" i="6" l="1"/>
  <c r="W191" i="6"/>
  <c r="O189" i="6"/>
  <c r="P188" i="6"/>
  <c r="AI188" i="6" l="1"/>
  <c r="AH188" i="6"/>
  <c r="AG188" i="6"/>
  <c r="AF188" i="6"/>
  <c r="AE188" i="6"/>
  <c r="O190" i="6"/>
  <c r="P189" i="6"/>
  <c r="V193" i="6"/>
  <c r="W192" i="6"/>
  <c r="AG189" i="6" l="1"/>
  <c r="AF189" i="6"/>
  <c r="AE189" i="6"/>
  <c r="AI189" i="6"/>
  <c r="AH189" i="6"/>
  <c r="W193" i="6"/>
  <c r="V194" i="6"/>
  <c r="P190" i="6"/>
  <c r="O191" i="6"/>
  <c r="AI190" i="6" l="1"/>
  <c r="AH190" i="6"/>
  <c r="AF190" i="6"/>
  <c r="AE190" i="6"/>
  <c r="AG190" i="6"/>
  <c r="P191" i="6"/>
  <c r="O192" i="6"/>
  <c r="W194" i="6"/>
  <c r="V195" i="6"/>
  <c r="AE191" i="6" l="1"/>
  <c r="AI191" i="6"/>
  <c r="AH191" i="6"/>
  <c r="AG191" i="6"/>
  <c r="AF191" i="6"/>
  <c r="V196" i="6"/>
  <c r="W195" i="6"/>
  <c r="O193" i="6"/>
  <c r="P192" i="6"/>
  <c r="AH192" i="6" l="1"/>
  <c r="AF192" i="6"/>
  <c r="AE192" i="6"/>
  <c r="AI192" i="6"/>
  <c r="AG192" i="6"/>
  <c r="O194" i="6"/>
  <c r="P193" i="6"/>
  <c r="V197" i="6"/>
  <c r="W196" i="6"/>
  <c r="AI193" i="6" l="1"/>
  <c r="AG193" i="6"/>
  <c r="AF193" i="6"/>
  <c r="AH193" i="6"/>
  <c r="AE193" i="6"/>
  <c r="W197" i="6"/>
  <c r="V198" i="6"/>
  <c r="P194" i="6"/>
  <c r="O195" i="6"/>
  <c r="AH194" i="6" l="1"/>
  <c r="AF194" i="6"/>
  <c r="AG194" i="6"/>
  <c r="AE194" i="6"/>
  <c r="AI194" i="6"/>
  <c r="P195" i="6"/>
  <c r="O196" i="6"/>
  <c r="W198" i="6"/>
  <c r="V199" i="6"/>
  <c r="AG195" i="6" l="1"/>
  <c r="AF195" i="6"/>
  <c r="AE195" i="6"/>
  <c r="AH195" i="6"/>
  <c r="AI195" i="6"/>
  <c r="V200" i="6"/>
  <c r="W199" i="6"/>
  <c r="O197" i="6"/>
  <c r="P196" i="6"/>
  <c r="AH196" i="6" l="1"/>
  <c r="AE196" i="6"/>
  <c r="AI196" i="6"/>
  <c r="AF196" i="6"/>
  <c r="AG196" i="6"/>
  <c r="O198" i="6"/>
  <c r="P197" i="6"/>
  <c r="V201" i="6"/>
  <c r="W200" i="6"/>
  <c r="AG197" i="6" l="1"/>
  <c r="AE197" i="6"/>
  <c r="AI197" i="6"/>
  <c r="AH197" i="6"/>
  <c r="AF197" i="6"/>
  <c r="W201" i="6"/>
  <c r="V202" i="6"/>
  <c r="P198" i="6"/>
  <c r="O199" i="6"/>
  <c r="AI198" i="6" l="1"/>
  <c r="AH198" i="6"/>
  <c r="AF198" i="6"/>
  <c r="AE198" i="6"/>
  <c r="AG198" i="6"/>
  <c r="P199" i="6"/>
  <c r="O200" i="6"/>
  <c r="V203" i="6"/>
  <c r="W202" i="6"/>
  <c r="AE199" i="6" l="1"/>
  <c r="AF199" i="6"/>
  <c r="AI199" i="6"/>
  <c r="AH199" i="6"/>
  <c r="AG199" i="6"/>
  <c r="V204" i="6"/>
  <c r="W203" i="6"/>
  <c r="O201" i="6"/>
  <c r="P200" i="6"/>
  <c r="AE200" i="6" l="1"/>
  <c r="AE201" i="6" s="1"/>
  <c r="AE202" i="6" s="1"/>
  <c r="AI200" i="6"/>
  <c r="AI201" i="6" s="1"/>
  <c r="AI202" i="6" s="1"/>
  <c r="AG200" i="6"/>
  <c r="AG201" i="6" s="1"/>
  <c r="AG202" i="6" s="1"/>
  <c r="AF200" i="6"/>
  <c r="AF201" i="6" s="1"/>
  <c r="AH200" i="6"/>
  <c r="AH201" i="6" s="1"/>
  <c r="AH202" i="6" s="1"/>
  <c r="O202" i="6"/>
  <c r="P201" i="6"/>
  <c r="W204" i="6"/>
  <c r="V205" i="6"/>
  <c r="W205" i="6" l="1"/>
  <c r="V206" i="6"/>
  <c r="P202" i="6"/>
  <c r="O203" i="6"/>
  <c r="AF202" i="6" l="1"/>
  <c r="O204" i="6"/>
  <c r="P203" i="6"/>
  <c r="V207" i="6"/>
  <c r="W206" i="6"/>
  <c r="AI203" i="6" l="1"/>
  <c r="AH203" i="6"/>
  <c r="AG203" i="6"/>
  <c r="AF203" i="6"/>
  <c r="AE203" i="6"/>
  <c r="V208" i="6"/>
  <c r="W207" i="6"/>
  <c r="O205" i="6"/>
  <c r="P204" i="6"/>
  <c r="AG204" i="6" l="1"/>
  <c r="AE204" i="6"/>
  <c r="AH204" i="6"/>
  <c r="AF204" i="6"/>
  <c r="AI204" i="6"/>
  <c r="P205" i="6"/>
  <c r="O206" i="6"/>
  <c r="W208" i="6"/>
  <c r="V209" i="6"/>
  <c r="AH205" i="6" l="1"/>
  <c r="AF205" i="6"/>
  <c r="AE205" i="6"/>
  <c r="AG205" i="6"/>
  <c r="AI205" i="6"/>
  <c r="W209" i="6"/>
  <c r="V210" i="6"/>
  <c r="P206" i="6"/>
  <c r="O207" i="6"/>
  <c r="AI206" i="6" l="1"/>
  <c r="AH206" i="6"/>
  <c r="AG206" i="6"/>
  <c r="AF206" i="6"/>
  <c r="AE206" i="6"/>
  <c r="O208" i="6"/>
  <c r="P207" i="6"/>
  <c r="V211" i="6"/>
  <c r="W210" i="6"/>
  <c r="AG207" i="6" l="1"/>
  <c r="AF207" i="6"/>
  <c r="AE207" i="6"/>
  <c r="AI207" i="6"/>
  <c r="AH207" i="6"/>
  <c r="V212" i="6"/>
  <c r="W211" i="6"/>
  <c r="O209" i="6"/>
  <c r="P208" i="6"/>
  <c r="AG208" i="6" l="1"/>
  <c r="AF208" i="6"/>
  <c r="AE208" i="6"/>
  <c r="AI208" i="6"/>
  <c r="AH208" i="6"/>
  <c r="P209" i="6"/>
  <c r="O210" i="6"/>
  <c r="W212" i="6"/>
  <c r="V213" i="6"/>
  <c r="AE209" i="6" l="1"/>
  <c r="AH209" i="6"/>
  <c r="AF209" i="6"/>
  <c r="AI209" i="6"/>
  <c r="AG209" i="6"/>
  <c r="W213" i="6"/>
  <c r="V214" i="6"/>
  <c r="P210" i="6"/>
  <c r="O211" i="6"/>
  <c r="AE210" i="6" l="1"/>
  <c r="AH210" i="6"/>
  <c r="AG210" i="6"/>
  <c r="AF210" i="6"/>
  <c r="AI210" i="6"/>
  <c r="O212" i="6"/>
  <c r="P211" i="6"/>
  <c r="V215" i="6"/>
  <c r="W214" i="6"/>
  <c r="AH211" i="6" l="1"/>
  <c r="AG211" i="6"/>
  <c r="AF211" i="6"/>
  <c r="AE211" i="6"/>
  <c r="AI211" i="6"/>
  <c r="V216" i="6"/>
  <c r="W215" i="6"/>
  <c r="O213" i="6"/>
  <c r="P212" i="6"/>
  <c r="AG212" i="6" l="1"/>
  <c r="AF212" i="6"/>
  <c r="AE212" i="6"/>
  <c r="AI212" i="6"/>
  <c r="AH212" i="6"/>
  <c r="P213" i="6"/>
  <c r="O214" i="6"/>
  <c r="W216" i="6"/>
  <c r="V217" i="6"/>
  <c r="AF213" i="6" l="1"/>
  <c r="AE213" i="6"/>
  <c r="AH213" i="6"/>
  <c r="AG213" i="6"/>
  <c r="AI213" i="6"/>
  <c r="V218" i="6"/>
  <c r="W217" i="6"/>
  <c r="P214" i="6"/>
  <c r="O215" i="6"/>
  <c r="AI214" i="6" l="1"/>
  <c r="AH214" i="6"/>
  <c r="AG214" i="6"/>
  <c r="AF214" i="6"/>
  <c r="AE214" i="6"/>
  <c r="O216" i="6"/>
  <c r="P215" i="6"/>
  <c r="V219" i="6"/>
  <c r="W218" i="6"/>
  <c r="AG215" i="6" l="1"/>
  <c r="AF215" i="6"/>
  <c r="AE215" i="6"/>
  <c r="AH215" i="6"/>
  <c r="AI215" i="6"/>
  <c r="W219" i="6"/>
  <c r="V220" i="6"/>
  <c r="O217" i="6"/>
  <c r="P216" i="6"/>
  <c r="AH216" i="6" l="1"/>
  <c r="AG216" i="6"/>
  <c r="AF216" i="6"/>
  <c r="AE216" i="6"/>
  <c r="AI216" i="6"/>
  <c r="P217" i="6"/>
  <c r="O218" i="6"/>
  <c r="W220" i="6"/>
  <c r="V221" i="6"/>
  <c r="AI217" i="6" l="1"/>
  <c r="AG217" i="6"/>
  <c r="AE217" i="6"/>
  <c r="AH217" i="6"/>
  <c r="AF217" i="6"/>
  <c r="V222" i="6"/>
  <c r="W221" i="6"/>
  <c r="O219" i="6"/>
  <c r="P218" i="6"/>
  <c r="AH218" i="6" l="1"/>
  <c r="AE218" i="6"/>
  <c r="AG218" i="6"/>
  <c r="AF218" i="6"/>
  <c r="AI218" i="6"/>
  <c r="O220" i="6"/>
  <c r="P219" i="6"/>
  <c r="V223" i="6"/>
  <c r="W222" i="6"/>
  <c r="AH219" i="6" l="1"/>
  <c r="AG219" i="6"/>
  <c r="AF219" i="6"/>
  <c r="AE219" i="6"/>
  <c r="AI219" i="6"/>
  <c r="W223" i="6"/>
  <c r="V224" i="6"/>
  <c r="P220" i="6"/>
  <c r="O221" i="6"/>
  <c r="AI220" i="6" l="1"/>
  <c r="AH220" i="6"/>
  <c r="AE220" i="6"/>
  <c r="AG220" i="6"/>
  <c r="AF220" i="6"/>
  <c r="W224" i="6"/>
  <c r="V225" i="6"/>
  <c r="P221" i="6"/>
  <c r="O222" i="6"/>
  <c r="AH221" i="6" l="1"/>
  <c r="AF221" i="6"/>
  <c r="AE221" i="6"/>
  <c r="AG221" i="6"/>
  <c r="AI221" i="6"/>
  <c r="O223" i="6"/>
  <c r="P222" i="6"/>
  <c r="V226" i="6"/>
  <c r="W225" i="6"/>
  <c r="AI222" i="6" l="1"/>
  <c r="AH222" i="6"/>
  <c r="AG222" i="6"/>
  <c r="AF222" i="6"/>
  <c r="AE222" i="6"/>
  <c r="V227" i="6"/>
  <c r="W226" i="6"/>
  <c r="O224" i="6"/>
  <c r="P223" i="6"/>
  <c r="AF223" i="6" l="1"/>
  <c r="AE223" i="6"/>
  <c r="AH223" i="6"/>
  <c r="AG223" i="6"/>
  <c r="AI223" i="6"/>
  <c r="P224" i="6"/>
  <c r="O225" i="6"/>
  <c r="W227" i="6"/>
  <c r="V228" i="6"/>
  <c r="AG224" i="6" l="1"/>
  <c r="AF224" i="6"/>
  <c r="AE224" i="6"/>
  <c r="AI224" i="6"/>
  <c r="AH224" i="6"/>
  <c r="W228" i="6"/>
  <c r="V229" i="6"/>
  <c r="P225" i="6"/>
  <c r="O226" i="6"/>
  <c r="AE225" i="6" l="1"/>
  <c r="AI225" i="6"/>
  <c r="AH225" i="6"/>
  <c r="AG225" i="6"/>
  <c r="AF225" i="6"/>
  <c r="O227" i="6"/>
  <c r="P226" i="6"/>
  <c r="V230" i="6"/>
  <c r="W229" i="6"/>
  <c r="AE226" i="6" l="1"/>
  <c r="AG226" i="6"/>
  <c r="AF226" i="6"/>
  <c r="AI226" i="6"/>
  <c r="AH226" i="6"/>
  <c r="V231" i="6"/>
  <c r="W230" i="6"/>
  <c r="O228" i="6"/>
  <c r="P227" i="6"/>
  <c r="AH227" i="6" l="1"/>
  <c r="AG227" i="6"/>
  <c r="AF227" i="6"/>
  <c r="AE227" i="6"/>
  <c r="AI227" i="6"/>
  <c r="P228" i="6"/>
  <c r="O229" i="6"/>
  <c r="W231" i="6"/>
  <c r="V232" i="6"/>
  <c r="AH228" i="6" l="1"/>
  <c r="AI228" i="6"/>
  <c r="AG228" i="6"/>
  <c r="AE228" i="6"/>
  <c r="AF228" i="6"/>
  <c r="W232" i="6"/>
  <c r="V233" i="6"/>
  <c r="P229" i="6"/>
  <c r="O230" i="6"/>
  <c r="AG229" i="6" l="1"/>
  <c r="AF229" i="6"/>
  <c r="AE229" i="6"/>
  <c r="AI229" i="6"/>
  <c r="AH229" i="6"/>
  <c r="V234" i="6"/>
  <c r="W233" i="6"/>
  <c r="O231" i="6"/>
  <c r="P230" i="6"/>
  <c r="AI230" i="6" l="1"/>
  <c r="AH230" i="6"/>
  <c r="AG230" i="6"/>
  <c r="AF230" i="6"/>
  <c r="AE230" i="6"/>
  <c r="O232" i="6"/>
  <c r="P231" i="6"/>
  <c r="V235" i="6"/>
  <c r="W234" i="6"/>
  <c r="AG231" i="6" l="1"/>
  <c r="AI231" i="6"/>
  <c r="AF231" i="6"/>
  <c r="AE231" i="6"/>
  <c r="AH231" i="6"/>
  <c r="W235" i="6"/>
  <c r="V236" i="6"/>
  <c r="P232" i="6"/>
  <c r="O233" i="6"/>
  <c r="AG232" i="6" l="1"/>
  <c r="AF232" i="6"/>
  <c r="AE232" i="6"/>
  <c r="AI232" i="6"/>
  <c r="AH232" i="6"/>
  <c r="W236" i="6"/>
  <c r="V237" i="6"/>
  <c r="P233" i="6"/>
  <c r="O234" i="6"/>
  <c r="AH233" i="6" l="1"/>
  <c r="AG233" i="6"/>
  <c r="AF233" i="6"/>
  <c r="AE233" i="6"/>
  <c r="AI233" i="6"/>
  <c r="V238" i="6"/>
  <c r="W237" i="6"/>
  <c r="O235" i="6"/>
  <c r="P234" i="6"/>
  <c r="AF234" i="6" l="1"/>
  <c r="AE234" i="6"/>
  <c r="AI234" i="6"/>
  <c r="AH234" i="6"/>
  <c r="AG234" i="6"/>
  <c r="O236" i="6"/>
  <c r="P235" i="6"/>
  <c r="W238" i="6"/>
  <c r="V239" i="6"/>
  <c r="AG235" i="6" l="1"/>
  <c r="AG236" i="6" s="1"/>
  <c r="AF235" i="6"/>
  <c r="AF236" i="6" s="1"/>
  <c r="AE235" i="6"/>
  <c r="AE236" i="6" s="1"/>
  <c r="AI235" i="6"/>
  <c r="AI236" i="6" s="1"/>
  <c r="AH235" i="6"/>
  <c r="AH236" i="6" s="1"/>
  <c r="W239" i="6"/>
  <c r="V240" i="6"/>
  <c r="P236" i="6"/>
  <c r="O237" i="6"/>
  <c r="P237" i="6" l="1"/>
  <c r="O238" i="6"/>
  <c r="V241" i="6"/>
  <c r="W240" i="6"/>
  <c r="AH237" i="6" l="1"/>
  <c r="AG237" i="6"/>
  <c r="AI237" i="6"/>
  <c r="AF237" i="6"/>
  <c r="AE237" i="6"/>
  <c r="V242" i="6"/>
  <c r="W241" i="6"/>
  <c r="O239" i="6"/>
  <c r="P238" i="6"/>
  <c r="AE238" i="6" l="1"/>
  <c r="AF238" i="6"/>
  <c r="AI238" i="6"/>
  <c r="AH238" i="6"/>
  <c r="AG238" i="6"/>
  <c r="P239" i="6"/>
  <c r="O240" i="6"/>
  <c r="W242" i="6"/>
  <c r="V243" i="6"/>
  <c r="AF239" i="6" l="1"/>
  <c r="AE239" i="6"/>
  <c r="AI239" i="6"/>
  <c r="AH239" i="6"/>
  <c r="AG239" i="6"/>
  <c r="W243" i="6"/>
  <c r="V244" i="6"/>
  <c r="P240" i="6"/>
  <c r="O241" i="6"/>
  <c r="AH240" i="6" l="1"/>
  <c r="AI240" i="6"/>
  <c r="AG240" i="6"/>
  <c r="AF240" i="6"/>
  <c r="AE240" i="6"/>
  <c r="O242" i="6"/>
  <c r="P241" i="6"/>
  <c r="V245" i="6"/>
  <c r="W244" i="6"/>
  <c r="AH241" i="6" l="1"/>
  <c r="AG241" i="6"/>
  <c r="AF241" i="6"/>
  <c r="AE241" i="6"/>
  <c r="AI241" i="6"/>
  <c r="V246" i="6"/>
  <c r="W245" i="6"/>
  <c r="O243" i="6"/>
  <c r="P242" i="6"/>
  <c r="AG242" i="6" l="1"/>
  <c r="AH242" i="6"/>
  <c r="AF242" i="6"/>
  <c r="AE242" i="6"/>
  <c r="AI242" i="6"/>
  <c r="P243" i="6"/>
  <c r="O244" i="6"/>
  <c r="W246" i="6"/>
  <c r="V247" i="6"/>
  <c r="AF243" i="6" l="1"/>
  <c r="AE243" i="6"/>
  <c r="AH243" i="6"/>
  <c r="AI243" i="6"/>
  <c r="AG243" i="6"/>
  <c r="P244" i="6"/>
  <c r="O245" i="6"/>
  <c r="W247" i="6"/>
  <c r="V248" i="6"/>
  <c r="AG244" i="6" l="1"/>
  <c r="AF244" i="6"/>
  <c r="AE244" i="6"/>
  <c r="AI244" i="6"/>
  <c r="AH244" i="6"/>
  <c r="V249" i="6"/>
  <c r="W248" i="6"/>
  <c r="O246" i="6"/>
  <c r="P245" i="6"/>
  <c r="AH245" i="6" l="1"/>
  <c r="AF245" i="6"/>
  <c r="AI245" i="6"/>
  <c r="AG245" i="6"/>
  <c r="AE245" i="6"/>
  <c r="O247" i="6"/>
  <c r="P246" i="6"/>
  <c r="V250" i="6"/>
  <c r="W249" i="6"/>
  <c r="AI246" i="6" l="1"/>
  <c r="AF246" i="6"/>
  <c r="AE246" i="6"/>
  <c r="AH246" i="6"/>
  <c r="AG246" i="6"/>
  <c r="W250" i="6"/>
  <c r="V251" i="6"/>
  <c r="P247" i="6"/>
  <c r="O248" i="6"/>
  <c r="AH247" i="6" l="1"/>
  <c r="AG247" i="6"/>
  <c r="AF247" i="6"/>
  <c r="AE247" i="6"/>
  <c r="AI247" i="6"/>
  <c r="W251" i="6"/>
  <c r="V252" i="6"/>
  <c r="P248" i="6"/>
  <c r="O249" i="6"/>
  <c r="AI248" i="6" l="1"/>
  <c r="AE248" i="6"/>
  <c r="AH248" i="6"/>
  <c r="AG248" i="6"/>
  <c r="AF248" i="6"/>
  <c r="O250" i="6"/>
  <c r="P249" i="6"/>
  <c r="V253" i="6"/>
  <c r="W252" i="6"/>
  <c r="AG249" i="6" l="1"/>
  <c r="AE249" i="6"/>
  <c r="AI249" i="6"/>
  <c r="AF249" i="6"/>
  <c r="AH249" i="6"/>
  <c r="V254" i="6"/>
  <c r="W253" i="6"/>
  <c r="O251" i="6"/>
  <c r="P250" i="6"/>
  <c r="AG250" i="6" l="1"/>
  <c r="AH250" i="6"/>
  <c r="AF250" i="6"/>
  <c r="AE250" i="6"/>
  <c r="AI250" i="6"/>
  <c r="P251" i="6"/>
  <c r="O252" i="6"/>
  <c r="W254" i="6"/>
  <c r="V255" i="6"/>
  <c r="AG251" i="6" l="1"/>
  <c r="AI251" i="6"/>
  <c r="AH251" i="6"/>
  <c r="AF251" i="6"/>
  <c r="AE251" i="6"/>
  <c r="P252" i="6"/>
  <c r="O253" i="6"/>
  <c r="W255" i="6"/>
  <c r="V256" i="6"/>
  <c r="AH252" i="6" l="1"/>
  <c r="AG252" i="6"/>
  <c r="AF252" i="6"/>
  <c r="AE252" i="6"/>
  <c r="AI252" i="6"/>
  <c r="V257" i="6"/>
  <c r="W256" i="6"/>
  <c r="O254" i="6"/>
  <c r="P253" i="6"/>
  <c r="AI253" i="6" l="1"/>
  <c r="AH253" i="6"/>
  <c r="AG253" i="6"/>
  <c r="AF253" i="6"/>
  <c r="AE253" i="6"/>
  <c r="O255" i="6"/>
  <c r="P254" i="6"/>
  <c r="V258" i="6"/>
  <c r="W257" i="6"/>
  <c r="AI254" i="6" l="1"/>
  <c r="AF254" i="6"/>
  <c r="AE254" i="6"/>
  <c r="AH254" i="6"/>
  <c r="AG254" i="6"/>
  <c r="W258" i="6"/>
  <c r="V259" i="6"/>
  <c r="P255" i="6"/>
  <c r="O256" i="6"/>
  <c r="AF255" i="6" l="1"/>
  <c r="AG255" i="6"/>
  <c r="AE255" i="6"/>
  <c r="AI255" i="6"/>
  <c r="AH255" i="6"/>
  <c r="P256" i="6"/>
  <c r="O257" i="6"/>
  <c r="W259" i="6"/>
  <c r="V260" i="6"/>
  <c r="AI256" i="6" l="1"/>
  <c r="AE256" i="6"/>
  <c r="AH256" i="6"/>
  <c r="AG256" i="6"/>
  <c r="AF256" i="6"/>
  <c r="V261" i="6"/>
  <c r="W260" i="6"/>
  <c r="O258" i="6"/>
  <c r="P257" i="6"/>
  <c r="AG257" i="6" l="1"/>
  <c r="AI257" i="6"/>
  <c r="AF257" i="6"/>
  <c r="AE257" i="6"/>
  <c r="AH257" i="6"/>
  <c r="O259" i="6"/>
  <c r="P258" i="6"/>
  <c r="V262" i="6"/>
  <c r="W261" i="6"/>
  <c r="AG258" i="6" l="1"/>
  <c r="AF258" i="6"/>
  <c r="AH258" i="6"/>
  <c r="AE258" i="6"/>
  <c r="AI258" i="6"/>
  <c r="W262" i="6"/>
  <c r="V263" i="6"/>
  <c r="P259" i="6"/>
  <c r="O260" i="6"/>
  <c r="AE259" i="6" l="1"/>
  <c r="AH259" i="6"/>
  <c r="AI259" i="6"/>
  <c r="AF259" i="6"/>
  <c r="AG259" i="6"/>
  <c r="P260" i="6"/>
  <c r="O261" i="6"/>
  <c r="V264" i="6"/>
  <c r="W263" i="6"/>
  <c r="AG260" i="6" l="1"/>
  <c r="AF260" i="6"/>
  <c r="AE260" i="6"/>
  <c r="AH260" i="6"/>
  <c r="AI260" i="6"/>
  <c r="O262" i="6"/>
  <c r="P261" i="6"/>
  <c r="V265" i="6"/>
  <c r="W264" i="6"/>
  <c r="AG261" i="6" l="1"/>
  <c r="AF261" i="6"/>
  <c r="AH261" i="6"/>
  <c r="AE261" i="6"/>
  <c r="AI261" i="6"/>
  <c r="V266" i="6"/>
  <c r="W265" i="6"/>
  <c r="O263" i="6"/>
  <c r="P262" i="6"/>
  <c r="AG262" i="6" l="1"/>
  <c r="AE262" i="6"/>
  <c r="AI262" i="6"/>
  <c r="AF262" i="6"/>
  <c r="AH262" i="6"/>
  <c r="P263" i="6"/>
  <c r="O264" i="6"/>
  <c r="W266" i="6"/>
  <c r="V267" i="6"/>
  <c r="AH263" i="6" l="1"/>
  <c r="AF263" i="6"/>
  <c r="AG263" i="6"/>
  <c r="AE263" i="6"/>
  <c r="AI263" i="6"/>
  <c r="W267" i="6"/>
  <c r="V268" i="6"/>
  <c r="O265" i="6"/>
  <c r="P264" i="6"/>
  <c r="AI264" i="6" l="1"/>
  <c r="AG264" i="6"/>
  <c r="AF264" i="6"/>
  <c r="AE264" i="6"/>
  <c r="AH264" i="6"/>
  <c r="V269" i="6"/>
  <c r="W268" i="6"/>
  <c r="O266" i="6"/>
  <c r="P265" i="6"/>
  <c r="AG265" i="6" l="1"/>
  <c r="AF265" i="6"/>
  <c r="AI265" i="6"/>
  <c r="AE265" i="6"/>
  <c r="AH265" i="6"/>
  <c r="P266" i="6"/>
  <c r="O267" i="6"/>
  <c r="V270" i="6"/>
  <c r="W269" i="6"/>
  <c r="AE266" i="6" l="1"/>
  <c r="AG266" i="6"/>
  <c r="AH266" i="6"/>
  <c r="AF266" i="6"/>
  <c r="AI266" i="6"/>
  <c r="V271" i="6"/>
  <c r="W270" i="6"/>
  <c r="P267" i="6"/>
  <c r="O268" i="6"/>
  <c r="AF267" i="6" l="1"/>
  <c r="AE267" i="6"/>
  <c r="AH267" i="6"/>
  <c r="AI267" i="6"/>
  <c r="AG267" i="6"/>
  <c r="O269" i="6"/>
  <c r="P268" i="6"/>
  <c r="V272" i="6"/>
  <c r="W271" i="6"/>
  <c r="AG268" i="6" l="1"/>
  <c r="AF268" i="6"/>
  <c r="AE268" i="6"/>
  <c r="AI268" i="6"/>
  <c r="AH268" i="6"/>
  <c r="W272" i="6"/>
  <c r="V273" i="6"/>
  <c r="O270" i="6"/>
  <c r="P269" i="6"/>
  <c r="AF269" i="6" l="1"/>
  <c r="AH269" i="6"/>
  <c r="AI269" i="6"/>
  <c r="AG269" i="6"/>
  <c r="AE269" i="6"/>
  <c r="P270" i="6"/>
  <c r="O271" i="6"/>
  <c r="W273" i="6"/>
  <c r="V274" i="6"/>
  <c r="AG270" i="6" l="1"/>
  <c r="AI270" i="6"/>
  <c r="AF270" i="6"/>
  <c r="AE270" i="6"/>
  <c r="AH270" i="6"/>
  <c r="V275" i="6"/>
  <c r="W274" i="6"/>
  <c r="P271" i="6"/>
  <c r="O272" i="6"/>
  <c r="AG271" i="6" l="1"/>
  <c r="AE271" i="6"/>
  <c r="AF271" i="6"/>
  <c r="AH271" i="6"/>
  <c r="AI271" i="6"/>
  <c r="O273" i="6"/>
  <c r="P272" i="6"/>
  <c r="V276" i="6"/>
  <c r="W275" i="6"/>
  <c r="AE272" i="6" l="1"/>
  <c r="AI272" i="6"/>
  <c r="AH272" i="6"/>
  <c r="AG272" i="6"/>
  <c r="AF272" i="6"/>
  <c r="W276" i="6"/>
  <c r="V277" i="6"/>
  <c r="O274" i="6"/>
  <c r="P273" i="6"/>
  <c r="AG273" i="6" l="1"/>
  <c r="AF273" i="6"/>
  <c r="AE273" i="6"/>
  <c r="AI273" i="6"/>
  <c r="AH273" i="6"/>
  <c r="P274" i="6"/>
  <c r="O275" i="6"/>
  <c r="W277" i="6"/>
  <c r="V278" i="6"/>
  <c r="AG274" i="6" l="1"/>
  <c r="AE274" i="6"/>
  <c r="AF274" i="6"/>
  <c r="AI274" i="6"/>
  <c r="AH274" i="6"/>
  <c r="W278" i="6"/>
  <c r="V279" i="6"/>
  <c r="P275" i="6"/>
  <c r="O276" i="6"/>
  <c r="AI275" i="6" l="1"/>
  <c r="AH275" i="6"/>
  <c r="AG275" i="6"/>
  <c r="AF275" i="6"/>
  <c r="AE275" i="6"/>
  <c r="O277" i="6"/>
  <c r="P276" i="6"/>
  <c r="V280" i="6"/>
  <c r="W279" i="6"/>
  <c r="AI276" i="6" l="1"/>
  <c r="AH276" i="6"/>
  <c r="AG276" i="6"/>
  <c r="AF276" i="6"/>
  <c r="AE276" i="6"/>
  <c r="V281" i="6"/>
  <c r="W280" i="6"/>
  <c r="O278" i="6"/>
  <c r="P277" i="6"/>
  <c r="AG277" i="6" l="1"/>
  <c r="AF277" i="6"/>
  <c r="AE277" i="6"/>
  <c r="AI277" i="6"/>
  <c r="AH277" i="6"/>
  <c r="P278" i="6"/>
  <c r="O279" i="6"/>
  <c r="W281" i="6"/>
  <c r="V282" i="6"/>
  <c r="AI278" i="6" l="1"/>
  <c r="AH278" i="6"/>
  <c r="AG278" i="6"/>
  <c r="AF278" i="6"/>
  <c r="AE278" i="6"/>
  <c r="W282" i="6"/>
  <c r="V283" i="6"/>
  <c r="O280" i="6"/>
  <c r="P279" i="6"/>
  <c r="AE279" i="6" l="1"/>
  <c r="AI279" i="6"/>
  <c r="AH279" i="6"/>
  <c r="AG279" i="6"/>
  <c r="AF279" i="6"/>
  <c r="O281" i="6"/>
  <c r="P280" i="6"/>
  <c r="V284" i="6"/>
  <c r="W283" i="6"/>
  <c r="AE280" i="6" l="1"/>
  <c r="AI280" i="6"/>
  <c r="AH280" i="6"/>
  <c r="AG280" i="6"/>
  <c r="AF280" i="6"/>
  <c r="V285" i="6"/>
  <c r="W284" i="6"/>
  <c r="P281" i="6"/>
  <c r="O282" i="6"/>
  <c r="AG281" i="6" l="1"/>
  <c r="AF281" i="6"/>
  <c r="AE281" i="6"/>
  <c r="AH281" i="6"/>
  <c r="AI281" i="6"/>
  <c r="P282" i="6"/>
  <c r="O283" i="6"/>
  <c r="W285" i="6"/>
  <c r="V286" i="6"/>
  <c r="AI282" i="6" l="1"/>
  <c r="AG282" i="6"/>
  <c r="AF282" i="6"/>
  <c r="AH282" i="6"/>
  <c r="AE282" i="6"/>
  <c r="W286" i="6"/>
  <c r="V287" i="6"/>
  <c r="O284" i="6"/>
  <c r="P283" i="6"/>
  <c r="AG283" i="6" l="1"/>
  <c r="AF283" i="6"/>
  <c r="AE283" i="6"/>
  <c r="AI283" i="6"/>
  <c r="AH283" i="6"/>
  <c r="V288" i="6"/>
  <c r="W287" i="6"/>
  <c r="O285" i="6"/>
  <c r="P284" i="6"/>
  <c r="AG284" i="6" l="1"/>
  <c r="AF284" i="6"/>
  <c r="AE284" i="6"/>
  <c r="AI284" i="6"/>
  <c r="AH284" i="6"/>
  <c r="O286" i="6"/>
  <c r="P285" i="6"/>
  <c r="V289" i="6"/>
  <c r="W288" i="6"/>
  <c r="AI285" i="6" l="1"/>
  <c r="AG285" i="6"/>
  <c r="AH285" i="6"/>
  <c r="AF285" i="6"/>
  <c r="AE285" i="6"/>
  <c r="W289" i="6"/>
  <c r="V290" i="6"/>
  <c r="P286" i="6"/>
  <c r="O287" i="6"/>
  <c r="AH286" i="6" l="1"/>
  <c r="AG286" i="6"/>
  <c r="AF286" i="6"/>
  <c r="AE286" i="6"/>
  <c r="AI286" i="6"/>
  <c r="V291" i="6"/>
  <c r="W290" i="6"/>
  <c r="O288" i="6"/>
  <c r="P287" i="6"/>
  <c r="AH287" i="6" l="1"/>
  <c r="AG287" i="6"/>
  <c r="AF287" i="6"/>
  <c r="AE287" i="6"/>
  <c r="AI287" i="6"/>
  <c r="O289" i="6"/>
  <c r="P288" i="6"/>
  <c r="V292" i="6"/>
  <c r="W291" i="6"/>
  <c r="AI288" i="6" l="1"/>
  <c r="AH288" i="6"/>
  <c r="AG288" i="6"/>
  <c r="AF288" i="6"/>
  <c r="AE288" i="6"/>
  <c r="V293" i="6"/>
  <c r="W292" i="6"/>
  <c r="O290" i="6"/>
  <c r="P289" i="6"/>
  <c r="AF289" i="6" l="1"/>
  <c r="AE289" i="6"/>
  <c r="AH289" i="6"/>
  <c r="AG289" i="6"/>
  <c r="AI289" i="6"/>
  <c r="P290" i="6"/>
  <c r="O291" i="6"/>
  <c r="V294" i="6"/>
  <c r="W293" i="6"/>
  <c r="AH290" i="6" l="1"/>
  <c r="AG290" i="6"/>
  <c r="AF290" i="6"/>
  <c r="AI290" i="6"/>
  <c r="AE290" i="6"/>
  <c r="V295" i="6"/>
  <c r="W294" i="6"/>
  <c r="O292" i="6"/>
  <c r="P291" i="6"/>
  <c r="AG291" i="6" l="1"/>
  <c r="AI291" i="6"/>
  <c r="AF291" i="6"/>
  <c r="AE291" i="6"/>
  <c r="AH291" i="6"/>
  <c r="O293" i="6"/>
  <c r="P292" i="6"/>
  <c r="V296" i="6"/>
  <c r="W295" i="6"/>
  <c r="AF292" i="6" l="1"/>
  <c r="AE292" i="6"/>
  <c r="AH292" i="6"/>
  <c r="AG292" i="6"/>
  <c r="AI292" i="6"/>
  <c r="V297" i="6"/>
  <c r="W296" i="6"/>
  <c r="O294" i="6"/>
  <c r="P293" i="6"/>
  <c r="AI293" i="6" l="1"/>
  <c r="AG293" i="6"/>
  <c r="AH293" i="6"/>
  <c r="AE293" i="6"/>
  <c r="AF293" i="6"/>
  <c r="P294" i="6"/>
  <c r="O295" i="6"/>
  <c r="W297" i="6"/>
  <c r="V298" i="6"/>
  <c r="AG294" i="6" l="1"/>
  <c r="AF294" i="6"/>
  <c r="AE294" i="6"/>
  <c r="AI294" i="6"/>
  <c r="AH294" i="6"/>
  <c r="W298" i="6"/>
  <c r="V299" i="6"/>
  <c r="O296" i="6"/>
  <c r="P295" i="6"/>
  <c r="AH295" i="6" l="1"/>
  <c r="AG295" i="6"/>
  <c r="AE295" i="6"/>
  <c r="AF295" i="6"/>
  <c r="AI295" i="6"/>
  <c r="O297" i="6"/>
  <c r="P296" i="6"/>
  <c r="V300" i="6"/>
  <c r="W299" i="6"/>
  <c r="AI296" i="6" l="1"/>
  <c r="AH296" i="6"/>
  <c r="AF296" i="6"/>
  <c r="AE296" i="6"/>
  <c r="AG296" i="6"/>
  <c r="V301" i="6"/>
  <c r="W300" i="6"/>
  <c r="O298" i="6"/>
  <c r="P297" i="6"/>
  <c r="AF297" i="6" l="1"/>
  <c r="AE297" i="6"/>
  <c r="AI297" i="6"/>
  <c r="AH297" i="6"/>
  <c r="AG297" i="6"/>
  <c r="P298" i="6"/>
  <c r="O299" i="6"/>
  <c r="W301" i="6"/>
  <c r="V302" i="6"/>
  <c r="AH298" i="6" l="1"/>
  <c r="AG298" i="6"/>
  <c r="AI298" i="6"/>
  <c r="AF298" i="6"/>
  <c r="AE298" i="6"/>
  <c r="V303" i="6"/>
  <c r="W302" i="6"/>
  <c r="O300" i="6"/>
  <c r="P299" i="6"/>
  <c r="AG299" i="6" l="1"/>
  <c r="AF299" i="6"/>
  <c r="AE299" i="6"/>
  <c r="AI299" i="6"/>
  <c r="AH299" i="6"/>
  <c r="O301" i="6"/>
  <c r="P300" i="6"/>
  <c r="V304" i="6"/>
  <c r="W303" i="6"/>
  <c r="AF300" i="6" l="1"/>
  <c r="AE300" i="6"/>
  <c r="AH300" i="6"/>
  <c r="AG300" i="6"/>
  <c r="AI300" i="6"/>
  <c r="V305" i="6"/>
  <c r="W304" i="6"/>
  <c r="P301" i="6"/>
  <c r="O302" i="6"/>
  <c r="AI301" i="6" l="1"/>
  <c r="AH301" i="6"/>
  <c r="AE301" i="6"/>
  <c r="AG301" i="6"/>
  <c r="AF301" i="6"/>
  <c r="P302" i="6"/>
  <c r="O303" i="6"/>
  <c r="W305" i="6"/>
  <c r="V306" i="6"/>
  <c r="AG302" i="6" l="1"/>
  <c r="AE302" i="6"/>
  <c r="AF302" i="6"/>
  <c r="AI302" i="6"/>
  <c r="AH302" i="6"/>
  <c r="V307" i="6"/>
  <c r="W306" i="6"/>
  <c r="O304" i="6"/>
  <c r="P303" i="6"/>
  <c r="AH303" i="6" l="1"/>
  <c r="AG303" i="6"/>
  <c r="AF303" i="6"/>
  <c r="AE303" i="6"/>
  <c r="AI303" i="6"/>
  <c r="O305" i="6"/>
  <c r="P304" i="6"/>
  <c r="V308" i="6"/>
  <c r="W307" i="6"/>
  <c r="AF304" i="6" l="1"/>
  <c r="AI304" i="6"/>
  <c r="AE304" i="6"/>
  <c r="AH304" i="6"/>
  <c r="AG304" i="6"/>
  <c r="W308" i="6"/>
  <c r="V309" i="6"/>
  <c r="O306" i="6"/>
  <c r="P305" i="6"/>
  <c r="AG305" i="6" l="1"/>
  <c r="AF305" i="6"/>
  <c r="AE305" i="6"/>
  <c r="AI305" i="6"/>
  <c r="AH305" i="6"/>
  <c r="W309" i="6"/>
  <c r="V310" i="6"/>
  <c r="P306" i="6"/>
  <c r="O307" i="6"/>
  <c r="AI306" i="6" l="1"/>
  <c r="AH306" i="6"/>
  <c r="AG306" i="6"/>
  <c r="AF306" i="6"/>
  <c r="AE306" i="6"/>
  <c r="P307" i="6"/>
  <c r="O308" i="6"/>
  <c r="W310" i="6"/>
  <c r="V311" i="6"/>
  <c r="AF307" i="6" l="1"/>
  <c r="AI307" i="6"/>
  <c r="AE307" i="6"/>
  <c r="AH307" i="6"/>
  <c r="AG307" i="6"/>
  <c r="V312" i="6"/>
  <c r="W311" i="6"/>
  <c r="O309" i="6"/>
  <c r="P308" i="6"/>
  <c r="AG308" i="6" l="1"/>
  <c r="AF308" i="6"/>
  <c r="AE308" i="6"/>
  <c r="AI308" i="6"/>
  <c r="AH308" i="6"/>
  <c r="O310" i="6"/>
  <c r="P309" i="6"/>
  <c r="V313" i="6"/>
  <c r="W312" i="6"/>
  <c r="AI309" i="6" l="1"/>
  <c r="AG309" i="6"/>
  <c r="AH309" i="6"/>
  <c r="AF309" i="6"/>
  <c r="AE309" i="6"/>
  <c r="W313" i="6"/>
  <c r="V314" i="6"/>
  <c r="P310" i="6"/>
  <c r="O311" i="6"/>
  <c r="AH310" i="6" l="1"/>
  <c r="AG310" i="6"/>
  <c r="AF310" i="6"/>
  <c r="AE310" i="6"/>
  <c r="AI310" i="6"/>
  <c r="W314" i="6"/>
  <c r="V315" i="6"/>
  <c r="O312" i="6"/>
  <c r="P311" i="6"/>
  <c r="AG311" i="6" l="1"/>
  <c r="AF311" i="6"/>
  <c r="AE311" i="6"/>
  <c r="AI311" i="6"/>
  <c r="AH311" i="6"/>
  <c r="V316" i="6"/>
  <c r="W315" i="6"/>
  <c r="O313" i="6"/>
  <c r="P312" i="6"/>
  <c r="AE312" i="6" l="1"/>
  <c r="AI312" i="6"/>
  <c r="AH312" i="6"/>
  <c r="AG312" i="6"/>
  <c r="AF312" i="6"/>
  <c r="O314" i="6"/>
  <c r="P313" i="6"/>
  <c r="V317" i="6"/>
  <c r="W316" i="6"/>
  <c r="AG313" i="6" l="1"/>
  <c r="AE313" i="6"/>
  <c r="AF313" i="6"/>
  <c r="AI313" i="6"/>
  <c r="AH313" i="6"/>
  <c r="W317" i="6"/>
  <c r="V318" i="6"/>
  <c r="P314" i="6"/>
  <c r="O315" i="6"/>
  <c r="AI314" i="6" l="1"/>
  <c r="AH314" i="6"/>
  <c r="AG314" i="6"/>
  <c r="AF314" i="6"/>
  <c r="AE314" i="6"/>
  <c r="V319" i="6"/>
  <c r="W318" i="6"/>
  <c r="O316" i="6"/>
  <c r="P315" i="6"/>
  <c r="AF315" i="6" l="1"/>
  <c r="AI315" i="6"/>
  <c r="AG315" i="6"/>
  <c r="AE315" i="6"/>
  <c r="AH315" i="6"/>
  <c r="O317" i="6"/>
  <c r="P316" i="6"/>
  <c r="V320" i="6"/>
  <c r="W319" i="6"/>
  <c r="AF316" i="6" l="1"/>
  <c r="AE316" i="6"/>
  <c r="AH316" i="6"/>
  <c r="AG316" i="6"/>
  <c r="AI316" i="6"/>
  <c r="V321" i="6"/>
  <c r="W320" i="6"/>
  <c r="P317" i="6"/>
  <c r="O318" i="6"/>
  <c r="AE317" i="6" l="1"/>
  <c r="AI317" i="6"/>
  <c r="AH317" i="6"/>
  <c r="AG317" i="6"/>
  <c r="AF317" i="6"/>
  <c r="P318" i="6"/>
  <c r="O319" i="6"/>
  <c r="W321" i="6"/>
  <c r="V322" i="6"/>
  <c r="AH318" i="6" l="1"/>
  <c r="AG318" i="6"/>
  <c r="AE318" i="6"/>
  <c r="AF318" i="6"/>
  <c r="AI318" i="6"/>
  <c r="V323" i="6"/>
  <c r="W322" i="6"/>
  <c r="P319" i="6"/>
  <c r="O320" i="6"/>
  <c r="AG319" i="6" l="1"/>
  <c r="AF319" i="6"/>
  <c r="AH319" i="6"/>
  <c r="AE319" i="6"/>
  <c r="AI319" i="6"/>
  <c r="O321" i="6"/>
  <c r="P320" i="6"/>
  <c r="W323" i="6"/>
  <c r="V324" i="6"/>
  <c r="AF320" i="6" l="1"/>
  <c r="AI320" i="6"/>
  <c r="AE320" i="6"/>
  <c r="AH320" i="6"/>
  <c r="AG320" i="6"/>
  <c r="V325" i="6"/>
  <c r="W324" i="6"/>
  <c r="O322" i="6"/>
  <c r="P321" i="6"/>
  <c r="AH321" i="6" l="1"/>
  <c r="AE321" i="6"/>
  <c r="AG321" i="6"/>
  <c r="AF321" i="6"/>
  <c r="AI321" i="6"/>
  <c r="P322" i="6"/>
  <c r="O323" i="6"/>
  <c r="V326" i="6"/>
  <c r="W325" i="6"/>
  <c r="AH322" i="6" l="1"/>
  <c r="AG322" i="6"/>
  <c r="AF322" i="6"/>
  <c r="AE322" i="6"/>
  <c r="AI322" i="6"/>
  <c r="V327" i="6"/>
  <c r="W326" i="6"/>
  <c r="O324" i="6"/>
  <c r="P323" i="6"/>
  <c r="AG323" i="6" l="1"/>
  <c r="AE323" i="6"/>
  <c r="AF323" i="6"/>
  <c r="AI323" i="6"/>
  <c r="AH323" i="6"/>
  <c r="P324" i="6"/>
  <c r="O325" i="6"/>
  <c r="W327" i="6"/>
  <c r="V328" i="6"/>
  <c r="AH324" i="6" l="1"/>
  <c r="AF324" i="6"/>
  <c r="AE324" i="6"/>
  <c r="AG324" i="6"/>
  <c r="AI324" i="6"/>
  <c r="V329" i="6"/>
  <c r="W328" i="6"/>
  <c r="O326" i="6"/>
  <c r="P325" i="6"/>
  <c r="AE325" i="6" l="1"/>
  <c r="AI325" i="6"/>
  <c r="AH325" i="6"/>
  <c r="AG325" i="6"/>
  <c r="AF325" i="6"/>
  <c r="O327" i="6"/>
  <c r="P326" i="6"/>
  <c r="V330" i="6"/>
  <c r="W329" i="6"/>
  <c r="AH326" i="6" l="1"/>
  <c r="AG326" i="6"/>
  <c r="AF326" i="6"/>
  <c r="AE326" i="6"/>
  <c r="AI326" i="6"/>
  <c r="W330" i="6"/>
  <c r="V331" i="6"/>
  <c r="O328" i="6"/>
  <c r="P327" i="6"/>
  <c r="AG327" i="6" l="1"/>
  <c r="AF327" i="6"/>
  <c r="AH327" i="6"/>
  <c r="AE327" i="6"/>
  <c r="AI327" i="6"/>
  <c r="W331" i="6"/>
  <c r="V332" i="6"/>
  <c r="P328" i="6"/>
  <c r="O329" i="6"/>
  <c r="AF328" i="6" l="1"/>
  <c r="AI328" i="6"/>
  <c r="AH328" i="6"/>
  <c r="AE328" i="6"/>
  <c r="AG328" i="6"/>
  <c r="W332" i="6"/>
  <c r="V333" i="6"/>
  <c r="P329" i="6"/>
  <c r="O330" i="6"/>
  <c r="AG329" i="6" l="1"/>
  <c r="AE329" i="6"/>
  <c r="AH329" i="6"/>
  <c r="AF329" i="6"/>
  <c r="AI329" i="6"/>
  <c r="V334" i="6"/>
  <c r="W333" i="6"/>
  <c r="O331" i="6"/>
  <c r="P330" i="6"/>
  <c r="AI330" i="6" l="1"/>
  <c r="AH330" i="6"/>
  <c r="AG330" i="6"/>
  <c r="AF330" i="6"/>
  <c r="AE330" i="6"/>
  <c r="O332" i="6"/>
  <c r="P331" i="6"/>
  <c r="V335" i="6"/>
  <c r="W334" i="6"/>
  <c r="AF331" i="6" l="1"/>
  <c r="AE331" i="6"/>
  <c r="AI331" i="6"/>
  <c r="AH331" i="6"/>
  <c r="AG331" i="6"/>
  <c r="W335" i="6"/>
  <c r="V336" i="6"/>
  <c r="P332" i="6"/>
  <c r="O333" i="6"/>
  <c r="AF332" i="6" l="1"/>
  <c r="AE332" i="6"/>
  <c r="AI332" i="6"/>
  <c r="AH332" i="6"/>
  <c r="AG332" i="6"/>
  <c r="O334" i="6"/>
  <c r="P333" i="6"/>
  <c r="V337" i="6"/>
  <c r="W336" i="6"/>
  <c r="AF333" i="6" l="1"/>
  <c r="AE333" i="6"/>
  <c r="AI333" i="6"/>
  <c r="AH333" i="6"/>
  <c r="AG333" i="6"/>
  <c r="W337" i="6"/>
  <c r="V338" i="6"/>
  <c r="O335" i="6"/>
  <c r="P334" i="6"/>
  <c r="AH334" i="6" l="1"/>
  <c r="AI334" i="6"/>
  <c r="AG334" i="6"/>
  <c r="AF334" i="6"/>
  <c r="AE334" i="6"/>
  <c r="P335" i="6"/>
  <c r="O336" i="6"/>
  <c r="W338" i="6"/>
  <c r="V339" i="6"/>
  <c r="AH335" i="6" l="1"/>
  <c r="AG335" i="6"/>
  <c r="AI335" i="6"/>
  <c r="AF335" i="6"/>
  <c r="AE335" i="6"/>
  <c r="V340" i="6"/>
  <c r="W339" i="6"/>
  <c r="P336" i="6"/>
  <c r="O337" i="6"/>
  <c r="AG336" i="6" l="1"/>
  <c r="AF336" i="6"/>
  <c r="AE336" i="6"/>
  <c r="AI336" i="6"/>
  <c r="AH336" i="6"/>
  <c r="O338" i="6"/>
  <c r="P337" i="6"/>
  <c r="V341" i="6"/>
  <c r="W340" i="6"/>
  <c r="AI337" i="6" l="1"/>
  <c r="AH337" i="6"/>
  <c r="AG337" i="6"/>
  <c r="AF337" i="6"/>
  <c r="AE337" i="6"/>
  <c r="W341" i="6"/>
  <c r="V342" i="6"/>
  <c r="O339" i="6"/>
  <c r="P338" i="6"/>
  <c r="AH338" i="6" l="1"/>
  <c r="AE338" i="6"/>
  <c r="AG338" i="6"/>
  <c r="AF338" i="6"/>
  <c r="AI338" i="6"/>
  <c r="P339" i="6"/>
  <c r="O340" i="6"/>
  <c r="W342" i="6"/>
  <c r="V343" i="6"/>
  <c r="AH339" i="6" l="1"/>
  <c r="AF339" i="6"/>
  <c r="AG339" i="6"/>
  <c r="AI339" i="6"/>
  <c r="AE339" i="6"/>
  <c r="V344" i="6"/>
  <c r="W343" i="6"/>
  <c r="P340" i="6"/>
  <c r="O341" i="6"/>
  <c r="AF340" i="6" l="1"/>
  <c r="AE340" i="6"/>
  <c r="AI340" i="6"/>
  <c r="AH340" i="6"/>
  <c r="AG340" i="6"/>
  <c r="O342" i="6"/>
  <c r="P341" i="6"/>
  <c r="W344" i="6"/>
  <c r="V345" i="6"/>
  <c r="AH341" i="6" l="1"/>
  <c r="AF341" i="6"/>
  <c r="AE341" i="6"/>
  <c r="AG341" i="6"/>
  <c r="AI341" i="6"/>
  <c r="V346" i="6"/>
  <c r="W345" i="6"/>
  <c r="O343" i="6"/>
  <c r="P342" i="6"/>
  <c r="AH342" i="6" l="1"/>
  <c r="AG342" i="6"/>
  <c r="AI342" i="6"/>
  <c r="AF342" i="6"/>
  <c r="AE342" i="6"/>
  <c r="P343" i="6"/>
  <c r="O344" i="6"/>
  <c r="V347" i="6"/>
  <c r="W346" i="6"/>
  <c r="AG343" i="6" l="1"/>
  <c r="AF343" i="6"/>
  <c r="AE343" i="6"/>
  <c r="AI343" i="6"/>
  <c r="AH343" i="6"/>
  <c r="V348" i="6"/>
  <c r="W347" i="6"/>
  <c r="O345" i="6"/>
  <c r="P344" i="6"/>
  <c r="AF344" i="6" l="1"/>
  <c r="AE344" i="6"/>
  <c r="AI344" i="6"/>
  <c r="AH344" i="6"/>
  <c r="AG344" i="6"/>
  <c r="V349" i="6"/>
  <c r="W348" i="6"/>
  <c r="P345" i="6"/>
  <c r="O346" i="6"/>
  <c r="AI345" i="6" l="1"/>
  <c r="AH345" i="6"/>
  <c r="AG345" i="6"/>
  <c r="AF345" i="6"/>
  <c r="AE345" i="6"/>
  <c r="O347" i="6"/>
  <c r="P346" i="6"/>
  <c r="V350" i="6"/>
  <c r="W349" i="6"/>
  <c r="AE346" i="6" l="1"/>
  <c r="AI346" i="6"/>
  <c r="AI347" i="6" s="1"/>
  <c r="AI348" i="6" s="1"/>
  <c r="AI349" i="6" s="1"/>
  <c r="AI350" i="6" s="1"/>
  <c r="AI351" i="6" s="1"/>
  <c r="AI352" i="6" s="1"/>
  <c r="AH346" i="6"/>
  <c r="AH347" i="6" s="1"/>
  <c r="AH348" i="6" s="1"/>
  <c r="AH349" i="6" s="1"/>
  <c r="AH350" i="6" s="1"/>
  <c r="AH351" i="6" s="1"/>
  <c r="AH352" i="6" s="1"/>
  <c r="AG346" i="6"/>
  <c r="AG347" i="6" s="1"/>
  <c r="AG348" i="6" s="1"/>
  <c r="AG349" i="6" s="1"/>
  <c r="AG350" i="6" s="1"/>
  <c r="AG351" i="6" s="1"/>
  <c r="AG352" i="6" s="1"/>
  <c r="AF346" i="6"/>
  <c r="W350" i="6"/>
  <c r="V351" i="6"/>
  <c r="P347" i="6"/>
  <c r="O348" i="6"/>
  <c r="AF347" i="6" l="1"/>
  <c r="AE347" i="6"/>
  <c r="O349" i="6"/>
  <c r="P348" i="6"/>
  <c r="V352" i="6"/>
  <c r="W351" i="6"/>
  <c r="AF348" i="6" l="1"/>
  <c r="AE348" i="6"/>
  <c r="W352" i="6"/>
  <c r="V353" i="6"/>
  <c r="P349" i="6"/>
  <c r="O350" i="6"/>
  <c r="AE349" i="6" l="1"/>
  <c r="AF349" i="6"/>
  <c r="O351" i="6"/>
  <c r="P350" i="6"/>
  <c r="V354" i="6"/>
  <c r="W353" i="6"/>
  <c r="AF350" i="6" l="1"/>
  <c r="AE350" i="6"/>
  <c r="V355" i="6"/>
  <c r="W354" i="6"/>
  <c r="O352" i="6"/>
  <c r="P351" i="6"/>
  <c r="AF351" i="6" l="1"/>
  <c r="AE351" i="6"/>
  <c r="O353" i="6"/>
  <c r="P352" i="6"/>
  <c r="W355" i="6"/>
  <c r="V356" i="6"/>
  <c r="AE352" i="6" l="1"/>
  <c r="AF352" i="6"/>
  <c r="V357" i="6"/>
  <c r="W356" i="6"/>
  <c r="O354" i="6"/>
  <c r="P353" i="6"/>
  <c r="AI353" i="6" l="1"/>
  <c r="AH353" i="6"/>
  <c r="AG353" i="6"/>
  <c r="AF353" i="6"/>
  <c r="AE353" i="6"/>
  <c r="O355" i="6"/>
  <c r="P354" i="6"/>
  <c r="W357" i="6"/>
  <c r="V358" i="6"/>
  <c r="AE354" i="6" l="1"/>
  <c r="AI354" i="6"/>
  <c r="AI355" i="6" s="1"/>
  <c r="AI356" i="6" s="1"/>
  <c r="AI357" i="6" s="1"/>
  <c r="AI358" i="6" s="1"/>
  <c r="AI359" i="6" s="1"/>
  <c r="AH354" i="6"/>
  <c r="AH355" i="6" s="1"/>
  <c r="AH356" i="6" s="1"/>
  <c r="AH357" i="6" s="1"/>
  <c r="AH358" i="6" s="1"/>
  <c r="AH359" i="6" s="1"/>
  <c r="AG354" i="6"/>
  <c r="AG355" i="6" s="1"/>
  <c r="AG356" i="6" s="1"/>
  <c r="AG357" i="6" s="1"/>
  <c r="AG358" i="6" s="1"/>
  <c r="AG359" i="6" s="1"/>
  <c r="AF354" i="6"/>
  <c r="W358" i="6"/>
  <c r="V359" i="6"/>
  <c r="O356" i="6"/>
  <c r="P355" i="6"/>
  <c r="AE355" i="6" l="1"/>
  <c r="AF355" i="6"/>
  <c r="P356" i="6"/>
  <c r="O357" i="6"/>
  <c r="V360" i="6"/>
  <c r="W359" i="6"/>
  <c r="AF356" i="6" l="1"/>
  <c r="AF357" i="6" s="1"/>
  <c r="AF358" i="6" s="1"/>
  <c r="AF359" i="6" s="1"/>
  <c r="AE356" i="6"/>
  <c r="O358" i="6"/>
  <c r="P357" i="6"/>
  <c r="V361" i="6"/>
  <c r="W360" i="6"/>
  <c r="AE357" i="6" l="1"/>
  <c r="AE358" i="6" s="1"/>
  <c r="AE359" i="6" s="1"/>
  <c r="W361" i="6"/>
  <c r="V362" i="6"/>
  <c r="O359" i="6"/>
  <c r="P358" i="6"/>
  <c r="P359" i="6" l="1"/>
  <c r="O360" i="6"/>
  <c r="W362" i="6"/>
  <c r="V363" i="6"/>
  <c r="V364" i="6" l="1"/>
  <c r="W363" i="6"/>
  <c r="O361" i="6"/>
  <c r="P360" i="6"/>
  <c r="AF360" i="6" l="1"/>
  <c r="AE360" i="6"/>
  <c r="AI360" i="6"/>
  <c r="AH360" i="6"/>
  <c r="AG360" i="6"/>
  <c r="O362" i="6"/>
  <c r="P361" i="6"/>
  <c r="V365" i="6"/>
  <c r="W364" i="6"/>
  <c r="AI361" i="6" l="1"/>
  <c r="AI362" i="6" s="1"/>
  <c r="AI363" i="6" s="1"/>
  <c r="AI364" i="6" s="1"/>
  <c r="AI365" i="6" s="1"/>
  <c r="AI366" i="6" s="1"/>
  <c r="AH361" i="6"/>
  <c r="AH362" i="6" s="1"/>
  <c r="AH363" i="6" s="1"/>
  <c r="AH364" i="6" s="1"/>
  <c r="AH365" i="6" s="1"/>
  <c r="AH366" i="6" s="1"/>
  <c r="AG361" i="6"/>
  <c r="AG362" i="6" s="1"/>
  <c r="AG363" i="6" s="1"/>
  <c r="AG364" i="6" s="1"/>
  <c r="AG365" i="6" s="1"/>
  <c r="AG366" i="6" s="1"/>
  <c r="AF361" i="6"/>
  <c r="AF362" i="6" s="1"/>
  <c r="AF363" i="6" s="1"/>
  <c r="AF364" i="6" s="1"/>
  <c r="AF365" i="6" s="1"/>
  <c r="AF366" i="6" s="1"/>
  <c r="AE361" i="6"/>
  <c r="AE362" i="6" s="1"/>
  <c r="AE363" i="6" s="1"/>
  <c r="AE364" i="6" s="1"/>
  <c r="AE365" i="6" s="1"/>
  <c r="AE366" i="6" s="1"/>
  <c r="V366" i="6"/>
  <c r="W365" i="6"/>
  <c r="P362" i="6"/>
  <c r="O363" i="6"/>
  <c r="P363" i="6" l="1"/>
  <c r="O364" i="6"/>
  <c r="V367" i="6"/>
  <c r="W366" i="6"/>
  <c r="W367" i="6" l="1"/>
  <c r="V368" i="6"/>
  <c r="O365" i="6"/>
  <c r="P364" i="6"/>
  <c r="P365" i="6" l="1"/>
  <c r="O366" i="6"/>
  <c r="W368" i="6"/>
  <c r="V369" i="6"/>
  <c r="W369" i="6" l="1"/>
  <c r="V370" i="6"/>
  <c r="O367" i="6"/>
  <c r="P366" i="6"/>
  <c r="P367" i="6" l="1"/>
  <c r="O368" i="6"/>
  <c r="V371" i="6"/>
  <c r="W370" i="6"/>
  <c r="AI367" i="6" l="1"/>
  <c r="AH367" i="6"/>
  <c r="AG367" i="6"/>
  <c r="AF367" i="6"/>
  <c r="AE367" i="6"/>
  <c r="W371" i="6"/>
  <c r="V372" i="6"/>
  <c r="P368" i="6"/>
  <c r="O369" i="6"/>
  <c r="AG368" i="6" l="1"/>
  <c r="AG369" i="6" s="1"/>
  <c r="AG370" i="6" s="1"/>
  <c r="AG371" i="6" s="1"/>
  <c r="AG372" i="6" s="1"/>
  <c r="AG373" i="6" s="1"/>
  <c r="AF368" i="6"/>
  <c r="AF369" i="6" s="1"/>
  <c r="AF370" i="6" s="1"/>
  <c r="AF371" i="6" s="1"/>
  <c r="AF372" i="6" s="1"/>
  <c r="AF373" i="6" s="1"/>
  <c r="AE368" i="6"/>
  <c r="AE369" i="6" s="1"/>
  <c r="AE370" i="6" s="1"/>
  <c r="AE371" i="6" s="1"/>
  <c r="AE372" i="6" s="1"/>
  <c r="AE373" i="6" s="1"/>
  <c r="AI368" i="6"/>
  <c r="AI369" i="6" s="1"/>
  <c r="AI370" i="6" s="1"/>
  <c r="AI371" i="6" s="1"/>
  <c r="AI372" i="6" s="1"/>
  <c r="AI373" i="6" s="1"/>
  <c r="AH368" i="6"/>
  <c r="AH369" i="6" s="1"/>
  <c r="AH370" i="6" s="1"/>
  <c r="AH371" i="6" s="1"/>
  <c r="AH372" i="6" s="1"/>
  <c r="AH373" i="6" s="1"/>
  <c r="P369" i="6"/>
  <c r="O370" i="6"/>
  <c r="V373" i="6"/>
  <c r="W372" i="6"/>
  <c r="W373" i="6" l="1"/>
  <c r="V374" i="6"/>
  <c r="P370" i="6"/>
  <c r="O371" i="6"/>
  <c r="O372" i="6" l="1"/>
  <c r="P371" i="6"/>
  <c r="V375" i="6"/>
  <c r="W374" i="6"/>
  <c r="W375" i="6" l="1"/>
  <c r="V376" i="6"/>
  <c r="P372" i="6"/>
  <c r="O373" i="6"/>
  <c r="P373" i="6" l="1"/>
  <c r="O374" i="6"/>
  <c r="W376" i="6"/>
  <c r="V377" i="6"/>
  <c r="W377" i="6" l="1"/>
  <c r="V378" i="6"/>
  <c r="P374" i="6"/>
  <c r="O375" i="6"/>
  <c r="AI374" i="6" l="1"/>
  <c r="AH374" i="6"/>
  <c r="AG374" i="6"/>
  <c r="AF374" i="6"/>
  <c r="AE374" i="6"/>
  <c r="O376" i="6"/>
  <c r="P375" i="6"/>
  <c r="W378" i="6"/>
  <c r="V379" i="6"/>
  <c r="AE375" i="6" l="1"/>
  <c r="AE376" i="6" s="1"/>
  <c r="AE377" i="6" s="1"/>
  <c r="AE378" i="6" s="1"/>
  <c r="AE379" i="6" s="1"/>
  <c r="AE380" i="6" s="1"/>
  <c r="AI375" i="6"/>
  <c r="AI376" i="6" s="1"/>
  <c r="AI377" i="6" s="1"/>
  <c r="AI378" i="6" s="1"/>
  <c r="AI379" i="6" s="1"/>
  <c r="AI380" i="6" s="1"/>
  <c r="AH375" i="6"/>
  <c r="AH376" i="6" s="1"/>
  <c r="AH377" i="6" s="1"/>
  <c r="AH378" i="6" s="1"/>
  <c r="AH379" i="6" s="1"/>
  <c r="AH380" i="6" s="1"/>
  <c r="AG375" i="6"/>
  <c r="AG376" i="6" s="1"/>
  <c r="AG377" i="6" s="1"/>
  <c r="AG378" i="6" s="1"/>
  <c r="AG379" i="6" s="1"/>
  <c r="AG380" i="6" s="1"/>
  <c r="AF375" i="6"/>
  <c r="AF376" i="6" s="1"/>
  <c r="AF377" i="6" s="1"/>
  <c r="AF378" i="6" s="1"/>
  <c r="AF379" i="6" s="1"/>
  <c r="AF380" i="6" s="1"/>
  <c r="W379" i="6"/>
  <c r="V380" i="6"/>
  <c r="P376" i="6"/>
  <c r="O377" i="6"/>
  <c r="V381" i="6" l="1"/>
  <c r="W380" i="6"/>
  <c r="O378" i="6"/>
  <c r="P377" i="6"/>
  <c r="P378" i="6" l="1"/>
  <c r="O379" i="6"/>
  <c r="W381" i="6"/>
  <c r="V382" i="6"/>
  <c r="V383" i="6" l="1"/>
  <c r="W382" i="6"/>
  <c r="O380" i="6"/>
  <c r="P379" i="6"/>
  <c r="P380" i="6" l="1"/>
  <c r="O381" i="6"/>
  <c r="W383" i="6"/>
  <c r="V384" i="6"/>
  <c r="W384" i="6" l="1"/>
  <c r="V385" i="6"/>
  <c r="P381" i="6"/>
  <c r="O382" i="6"/>
  <c r="AH381" i="6" l="1"/>
  <c r="AG381" i="6"/>
  <c r="AF381" i="6"/>
  <c r="AE381" i="6"/>
  <c r="AI381" i="6"/>
  <c r="W385" i="6"/>
  <c r="V386" i="6"/>
  <c r="P382" i="6"/>
  <c r="O383" i="6"/>
  <c r="AI382" i="6" l="1"/>
  <c r="AI383" i="6" s="1"/>
  <c r="AI384" i="6" s="1"/>
  <c r="AI385" i="6" s="1"/>
  <c r="AI386" i="6" s="1"/>
  <c r="AI387" i="6" s="1"/>
  <c r="AH382" i="6"/>
  <c r="AH383" i="6" s="1"/>
  <c r="AH384" i="6" s="1"/>
  <c r="AH385" i="6" s="1"/>
  <c r="AH386" i="6" s="1"/>
  <c r="AH387" i="6" s="1"/>
  <c r="AG382" i="6"/>
  <c r="AG383" i="6" s="1"/>
  <c r="AG384" i="6" s="1"/>
  <c r="AG385" i="6" s="1"/>
  <c r="AG386" i="6" s="1"/>
  <c r="AG387" i="6" s="1"/>
  <c r="AF382" i="6"/>
  <c r="AF383" i="6" s="1"/>
  <c r="AF384" i="6" s="1"/>
  <c r="AF385" i="6" s="1"/>
  <c r="AF386" i="6" s="1"/>
  <c r="AF387" i="6" s="1"/>
  <c r="AE382" i="6"/>
  <c r="AE383" i="6" s="1"/>
  <c r="AE384" i="6" s="1"/>
  <c r="AE385" i="6" s="1"/>
  <c r="AE386" i="6" s="1"/>
  <c r="AE387" i="6" s="1"/>
  <c r="O384" i="6"/>
  <c r="P383" i="6"/>
  <c r="V387" i="6"/>
  <c r="W386" i="6"/>
  <c r="W387" i="6" l="1"/>
  <c r="V388" i="6"/>
  <c r="P384" i="6"/>
  <c r="O385" i="6"/>
  <c r="O386" i="6" l="1"/>
  <c r="P385" i="6"/>
  <c r="W388" i="6"/>
  <c r="V389" i="6"/>
  <c r="W389" i="6" l="1"/>
  <c r="V390" i="6"/>
  <c r="P386" i="6"/>
  <c r="O387" i="6"/>
  <c r="O388" i="6" l="1"/>
  <c r="P387" i="6"/>
  <c r="V391" i="6"/>
  <c r="W390" i="6"/>
  <c r="W391" i="6" l="1"/>
  <c r="V392" i="6"/>
  <c r="P388" i="6"/>
  <c r="O389" i="6"/>
  <c r="AF388" i="6" l="1"/>
  <c r="AE388" i="6"/>
  <c r="AI388" i="6"/>
  <c r="AH388" i="6"/>
  <c r="AG388" i="6"/>
  <c r="W392" i="6"/>
  <c r="V393" i="6"/>
  <c r="P389" i="6"/>
  <c r="O390" i="6"/>
  <c r="W393" i="6" l="1"/>
  <c r="V394" i="6"/>
  <c r="P390" i="6"/>
  <c r="O391" i="6"/>
  <c r="AF389" i="6" l="1"/>
  <c r="AF390" i="6" s="1"/>
  <c r="AF391" i="6" s="1"/>
  <c r="AF392" i="6" s="1"/>
  <c r="AF393" i="6" s="1"/>
  <c r="AF394" i="6" s="1"/>
  <c r="AF395" i="6" s="1"/>
  <c r="AF396" i="6" s="1"/>
  <c r="AF397" i="6" s="1"/>
  <c r="AF398" i="6" s="1"/>
  <c r="AF399" i="6" s="1"/>
  <c r="AE389" i="6"/>
  <c r="AE390" i="6" s="1"/>
  <c r="AE391" i="6" s="1"/>
  <c r="AE392" i="6" s="1"/>
  <c r="AE393" i="6" s="1"/>
  <c r="AE394" i="6" s="1"/>
  <c r="AE395" i="6" s="1"/>
  <c r="AE396" i="6" s="1"/>
  <c r="AE397" i="6" s="1"/>
  <c r="AE398" i="6" s="1"/>
  <c r="AE399" i="6" s="1"/>
  <c r="AI389" i="6"/>
  <c r="AI390" i="6" s="1"/>
  <c r="AI391" i="6" s="1"/>
  <c r="AI392" i="6" s="1"/>
  <c r="AI393" i="6" s="1"/>
  <c r="AI394" i="6" s="1"/>
  <c r="AI395" i="6" s="1"/>
  <c r="AI396" i="6" s="1"/>
  <c r="AI397" i="6" s="1"/>
  <c r="AI398" i="6" s="1"/>
  <c r="AI399" i="6" s="1"/>
  <c r="AH389" i="6"/>
  <c r="AH390" i="6" s="1"/>
  <c r="AH391" i="6" s="1"/>
  <c r="AH392" i="6" s="1"/>
  <c r="AH393" i="6" s="1"/>
  <c r="AH394" i="6" s="1"/>
  <c r="AH395" i="6" s="1"/>
  <c r="AH396" i="6" s="1"/>
  <c r="AH397" i="6" s="1"/>
  <c r="AH398" i="6" s="1"/>
  <c r="AH399" i="6" s="1"/>
  <c r="AG389" i="6"/>
  <c r="AG390" i="6" s="1"/>
  <c r="AG391" i="6" s="1"/>
  <c r="AG392" i="6" s="1"/>
  <c r="AG393" i="6" s="1"/>
  <c r="AG394" i="6" s="1"/>
  <c r="AG395" i="6" s="1"/>
  <c r="AG396" i="6" s="1"/>
  <c r="AG397" i="6" s="1"/>
  <c r="AG398" i="6" s="1"/>
  <c r="AG399" i="6" s="1"/>
  <c r="P391" i="6"/>
  <c r="O392" i="6"/>
  <c r="V395" i="6"/>
  <c r="W394" i="6"/>
  <c r="P392" i="6" l="1"/>
  <c r="O393" i="6"/>
  <c r="W395" i="6"/>
  <c r="V396" i="6"/>
  <c r="O394" i="6" l="1"/>
  <c r="P393" i="6"/>
  <c r="V397" i="6"/>
  <c r="W396" i="6"/>
  <c r="W397" i="6" l="1"/>
  <c r="V398" i="6"/>
  <c r="P394" i="6"/>
  <c r="O395" i="6"/>
  <c r="O396" i="6" l="1"/>
  <c r="P395" i="6"/>
  <c r="W398" i="6"/>
  <c r="V399" i="6"/>
  <c r="W399" i="6" s="1"/>
  <c r="P396" i="6" l="1"/>
  <c r="O397" i="6"/>
  <c r="P397" i="6" l="1"/>
  <c r="O398" i="6"/>
  <c r="P398" i="6" s="1"/>
</calcChain>
</file>

<file path=xl/sharedStrings.xml><?xml version="1.0" encoding="utf-8"?>
<sst xmlns="http://schemas.openxmlformats.org/spreadsheetml/2006/main" count="1713" uniqueCount="592">
  <si>
    <t>M</t>
  </si>
  <si>
    <t>T</t>
  </si>
  <si>
    <t>W</t>
  </si>
  <si>
    <t>H</t>
  </si>
  <si>
    <t>F</t>
  </si>
  <si>
    <t>JULY</t>
  </si>
  <si>
    <t>OCTOBER</t>
  </si>
  <si>
    <t>JANUARY</t>
  </si>
  <si>
    <t>APRIL</t>
  </si>
  <si>
    <t>July</t>
  </si>
  <si>
    <t>Oct</t>
  </si>
  <si>
    <t>Jan</t>
  </si>
  <si>
    <t>Apr</t>
  </si>
  <si>
    <t>Total</t>
  </si>
  <si>
    <t>Days</t>
  </si>
  <si>
    <t>AUGUST</t>
  </si>
  <si>
    <t>NOVEMBER</t>
  </si>
  <si>
    <t>FEBRUARY</t>
  </si>
  <si>
    <t>MAY</t>
  </si>
  <si>
    <t>Aug</t>
  </si>
  <si>
    <t>Nov</t>
  </si>
  <si>
    <t>Feb</t>
  </si>
  <si>
    <t>May</t>
  </si>
  <si>
    <t>SEPTEMBER</t>
  </si>
  <si>
    <t>DECEMBER</t>
  </si>
  <si>
    <t>MARCH</t>
  </si>
  <si>
    <t>Sept</t>
  </si>
  <si>
    <t>Dec</t>
  </si>
  <si>
    <t>Mar</t>
  </si>
  <si>
    <t>Holidays</t>
  </si>
  <si>
    <t>Not Working</t>
  </si>
  <si>
    <t>Non-contract days</t>
  </si>
  <si>
    <t>Half Day</t>
  </si>
  <si>
    <t>Parent-Teacher Conference Dates</t>
  </si>
  <si>
    <t>Full Day</t>
  </si>
  <si>
    <t>Total Contract Days</t>
  </si>
  <si>
    <r>
      <t>Professional Development Dates</t>
    </r>
    <r>
      <rPr>
        <b/>
        <sz val="10"/>
        <rFont val="Calibri"/>
        <family val="2"/>
        <scheme val="minor"/>
      </rPr>
      <t xml:space="preserve"> Required</t>
    </r>
  </si>
  <si>
    <t>Parent-Teacher Conferences (PTC)</t>
  </si>
  <si>
    <t>Up to 2 PTC dates may be included in the total contract.  Any additional PTC dates worked must be approved by the Principal and submitted on a time sheet.  Note to Principal:  May not be paid from budget 0050.</t>
  </si>
  <si>
    <t>1)</t>
  </si>
  <si>
    <t>2)</t>
  </si>
  <si>
    <t xml:space="preserve">Teacher 2: </t>
  </si>
  <si>
    <t>o</t>
  </si>
  <si>
    <t>Key</t>
  </si>
  <si>
    <t>Non Working Day</t>
  </si>
  <si>
    <t>Combined Worksheet</t>
  </si>
  <si>
    <t>UPPER</t>
  </si>
  <si>
    <t>lower</t>
  </si>
  <si>
    <t>FTE:</t>
  </si>
  <si>
    <t>Days:</t>
  </si>
  <si>
    <t>*Text will be black if balanced</t>
  </si>
  <si>
    <t xml:space="preserve">Revision Status: </t>
  </si>
  <si>
    <t xml:space="preserve">The calendars must be followed as outlined. If a calendared day is missed, the appropriate accrued leave must be entered for that day.  </t>
  </si>
  <si>
    <t>Calendar:</t>
  </si>
  <si>
    <t>Trad</t>
  </si>
  <si>
    <t>Track A</t>
  </si>
  <si>
    <t>Track B</t>
  </si>
  <si>
    <t>Track C</t>
  </si>
  <si>
    <t>Track D</t>
  </si>
  <si>
    <t>Flex</t>
  </si>
  <si>
    <r>
      <t>Parent-Teacher Conference Dates</t>
    </r>
    <r>
      <rPr>
        <sz val="12"/>
        <color theme="1"/>
        <rFont val="Calibri"/>
        <family val="2"/>
        <scheme val="minor"/>
      </rPr>
      <t xml:space="preserve"> </t>
    </r>
    <r>
      <rPr>
        <i/>
        <sz val="10"/>
        <color theme="1"/>
        <rFont val="Calibri"/>
        <family val="2"/>
        <scheme val="minor"/>
      </rPr>
      <t>(Highlighted in orange on calendar)</t>
    </r>
  </si>
  <si>
    <t>Individual School Worksheets</t>
  </si>
  <si>
    <t>Total FTE</t>
  </si>
  <si>
    <t>Skyward Days</t>
  </si>
  <si>
    <t>To be Entered</t>
  </si>
  <si>
    <t>Total Hours</t>
  </si>
  <si>
    <t>School Year</t>
  </si>
  <si>
    <t>2019-2020</t>
  </si>
  <si>
    <t>2020-2021</t>
  </si>
  <si>
    <t>2021-2022</t>
  </si>
  <si>
    <t>2022-2023</t>
  </si>
  <si>
    <t>2023-2024</t>
  </si>
  <si>
    <t>2024-2025</t>
  </si>
  <si>
    <t>2025-2026</t>
  </si>
  <si>
    <t>2026-2027</t>
  </si>
  <si>
    <t>2027-2028</t>
  </si>
  <si>
    <t>2028-2029</t>
  </si>
  <si>
    <t>2029-2030</t>
  </si>
  <si>
    <t>School Year:</t>
  </si>
  <si>
    <t>Offsets</t>
  </si>
  <si>
    <t>JUNE</t>
  </si>
  <si>
    <t>June</t>
  </si>
  <si>
    <t>2030-2031</t>
  </si>
  <si>
    <t>First Year</t>
  </si>
  <si>
    <t>Last Year</t>
  </si>
  <si>
    <t>Begins</t>
  </si>
  <si>
    <t>Ends</t>
  </si>
  <si>
    <t>ACCOUNTABILITY &amp; PROGRAM SERV</t>
  </si>
  <si>
    <t>District</t>
  </si>
  <si>
    <t>SPECIAL EDUCATION</t>
  </si>
  <si>
    <t>ALTERNATIVE LANGUAGE SERVICES</t>
  </si>
  <si>
    <t>AT RISK STUDENTS/STUDENT INTER</t>
  </si>
  <si>
    <t>PLANNING &amp; STUDENT SERVICES</t>
  </si>
  <si>
    <t>GUIDANCE</t>
  </si>
  <si>
    <t>CAREER &amp; TECHNICAL EDUCATION</t>
  </si>
  <si>
    <t>INSTRUCTIONAL SUPPORT SERVICES</t>
  </si>
  <si>
    <t>BLUFFDALE ELEMENTARY</t>
  </si>
  <si>
    <t>Elementary</t>
  </si>
  <si>
    <t>COLUMBIA ELEMENTARY</t>
  </si>
  <si>
    <t>OAKCREST ELEMENTARY</t>
  </si>
  <si>
    <t>DAYBREAK ELEMENTARY</t>
  </si>
  <si>
    <t>SILVER CREST ELEMENTARY</t>
  </si>
  <si>
    <t>EASTLAKE ELEMENTARY</t>
  </si>
  <si>
    <t>MIDAS CREEK ELEMENTARY</t>
  </si>
  <si>
    <t>FOX HOLLOW ELEMENTARY</t>
  </si>
  <si>
    <t>ELK MEADOWS ELEMENTARY</t>
  </si>
  <si>
    <t>BLACKRIDGE ELEMENTARY</t>
  </si>
  <si>
    <t>FALCON RIDGE ELEMENTARY</t>
  </si>
  <si>
    <t>HAYDEN PEAK ELEMENTARY</t>
  </si>
  <si>
    <t>HEARTLAND ELEMENTARY</t>
  </si>
  <si>
    <t>JORDAN RIDGE ELEMENTARY</t>
  </si>
  <si>
    <t>JORDAN HILLS ELEMENTARY</t>
  </si>
  <si>
    <t>HERRIMAN ELEMENTARY</t>
  </si>
  <si>
    <t>MAJESTIC ELEMENTARY</t>
  </si>
  <si>
    <t>GOLDEN FIELDS ELEMENTARY</t>
  </si>
  <si>
    <t>MOUNTAIN SHADOWS ELEMENTARY</t>
  </si>
  <si>
    <t>MONTE VISTA ELEMENTARY</t>
  </si>
  <si>
    <t>OQUIRRH ELEMENTARY</t>
  </si>
  <si>
    <t>RIVERTON ELEMENTARY</t>
  </si>
  <si>
    <t>RIVERSIDE ELEMENTARY</t>
  </si>
  <si>
    <t>ROSAMOND ELEMENTARY</t>
  </si>
  <si>
    <t>SOUTH JORDAN ELEMENTARY</t>
  </si>
  <si>
    <t>SOUTHLAND ELEMENTARY</t>
  </si>
  <si>
    <t>TERRA LINDA ELEMENTARY</t>
  </si>
  <si>
    <t>ROSE CREEK ELEMENTARY</t>
  </si>
  <si>
    <t>WELBY ELEMENTARY</t>
  </si>
  <si>
    <t>WESTVALE ELEMENTARY</t>
  </si>
  <si>
    <t>WESTLAND ELEMENTARY</t>
  </si>
  <si>
    <t>BASTIAN ELEMENTARY</t>
  </si>
  <si>
    <t>COPPER CANYON ELEMENTARY</t>
  </si>
  <si>
    <t>FOOTHILLS ELEMENTARY</t>
  </si>
  <si>
    <t>BUTTERFIELD CANYON ELEMENTARY</t>
  </si>
  <si>
    <t>JOEL P JENSEN MIDDLE</t>
  </si>
  <si>
    <t>Middle</t>
  </si>
  <si>
    <t>OQUIRRH HILLS MIDDLE</t>
  </si>
  <si>
    <t>SOUTH JORDAN MIDDLE</t>
  </si>
  <si>
    <t>WEST JORDAN MIDDLE</t>
  </si>
  <si>
    <t>ELK RIDGE MIDDLE</t>
  </si>
  <si>
    <t>WEST HILLS MIDDLE</t>
  </si>
  <si>
    <t>SOUTH HILLS MIDDLE</t>
  </si>
  <si>
    <t>SUNSET RIDGE MIDDLE</t>
  </si>
  <si>
    <t>FORT HERRIMAN MIDDLE</t>
  </si>
  <si>
    <t>COPPER MOUNTAIN MIDDLE</t>
  </si>
  <si>
    <t>COPPER HILLS HIGH</t>
  </si>
  <si>
    <t>High</t>
  </si>
  <si>
    <t>BINGHAM HIGH</t>
  </si>
  <si>
    <t>HERRIMAN HIGH</t>
  </si>
  <si>
    <t>RIVERTON HIGH</t>
  </si>
  <si>
    <t>VALLEY HIGH</t>
  </si>
  <si>
    <t>Alternative</t>
  </si>
  <si>
    <t>WEST JORDAN HIGH</t>
  </si>
  <si>
    <t>JATC NORTH</t>
  </si>
  <si>
    <t>JATC SOUTH</t>
  </si>
  <si>
    <t>PRESCHOOL/CHILD DEVELOPMNT CTR</t>
  </si>
  <si>
    <t>SOUTH VALLEY</t>
  </si>
  <si>
    <t>RIVER'S EDGE</t>
  </si>
  <si>
    <t>KAURI SUE HAMILTON</t>
  </si>
  <si>
    <t>SOUTH POINTE HIGH</t>
  </si>
  <si>
    <t>T&amp;L</t>
  </si>
  <si>
    <t>CTE</t>
  </si>
  <si>
    <t>OHMS</t>
  </si>
  <si>
    <t>JPJMS</t>
  </si>
  <si>
    <t>SJMS</t>
  </si>
  <si>
    <t>WJMS</t>
  </si>
  <si>
    <t>ERMS</t>
  </si>
  <si>
    <t>SRMS</t>
  </si>
  <si>
    <t>FHMS</t>
  </si>
  <si>
    <t>CMMS</t>
  </si>
  <si>
    <t>CHHS</t>
  </si>
  <si>
    <t>BHS</t>
  </si>
  <si>
    <t>HHS</t>
  </si>
  <si>
    <t>RHS</t>
  </si>
  <si>
    <t>MOUNTAIN RIDGE HIGH</t>
  </si>
  <si>
    <t>MRHS</t>
  </si>
  <si>
    <t>WJHS</t>
  </si>
  <si>
    <t>JATCN</t>
  </si>
  <si>
    <t>JATCS</t>
  </si>
  <si>
    <t>CDC</t>
  </si>
  <si>
    <t>Non Contract</t>
  </si>
  <si>
    <t>(0.5)</t>
  </si>
  <si>
    <t>Elem:</t>
  </si>
  <si>
    <t xml:space="preserve">FTE: </t>
  </si>
  <si>
    <t>*Enter total hours of day you want to take off and hit enter.</t>
  </si>
  <si>
    <t>3)</t>
  </si>
  <si>
    <t>4)</t>
  </si>
  <si>
    <t>0.5 (Timesheet)</t>
  </si>
  <si>
    <t>Employee</t>
  </si>
  <si>
    <t>Day Not Filled</t>
  </si>
  <si>
    <t>Both</t>
  </si>
  <si>
    <t>Day Of Week</t>
  </si>
  <si>
    <t>Holiday</t>
  </si>
  <si>
    <t>PTC</t>
  </si>
  <si>
    <t>Error</t>
  </si>
  <si>
    <t>Duplicated dates</t>
  </si>
  <si>
    <t>Contract Date that has not been filled</t>
  </si>
  <si>
    <t>Notes:</t>
  </si>
  <si>
    <t>Leave Day Equivalent</t>
  </si>
  <si>
    <r>
      <t xml:space="preserve">Each contract day on the Combined calendar must be marked with a location name or "Both". The teacher will complete each individual calendar worksheet by selecting the date they are working at that location and entering the total hours they are working that day up to 8 hours.  If the teacher will not be working that day, it should be left empty.  </t>
    </r>
    <r>
      <rPr>
        <b/>
        <sz val="12"/>
        <color theme="1"/>
        <rFont val="Calibri"/>
        <family val="2"/>
        <scheme val="minor"/>
      </rPr>
      <t xml:space="preserve">The combined teacher hours for each day cannot equal more than 8 hours between both locations.  </t>
    </r>
  </si>
  <si>
    <r>
      <t xml:space="preserve">Up to four Parent-Teacher Conference days are included in the contract day total.  The dates must be listed in the appropriate section at the bottom of the calendar.  If attending all 4 Parent-Teacher Conference days at both locations, the 2 additional dates must be approved and paid for by the Principal and submitted on a time sheet.  </t>
    </r>
    <r>
      <rPr>
        <i/>
        <sz val="12"/>
        <color theme="1"/>
        <rFont val="Calibri"/>
        <family val="2"/>
        <scheme val="minor"/>
      </rPr>
      <t>Note to Principal:  May not be paid from budget 0050.</t>
    </r>
  </si>
  <si>
    <t>Location 1</t>
  </si>
  <si>
    <t>Location 2</t>
  </si>
  <si>
    <t>Both locations working half days</t>
  </si>
  <si>
    <t>Combined hours for both locations &gt; 8 hours</t>
  </si>
  <si>
    <r>
      <t xml:space="preserve">HR will need printed copies of ALL 3 worksheets with employee and principal signatures on both Location A and Location B's worksheet.  </t>
    </r>
    <r>
      <rPr>
        <b/>
        <sz val="12"/>
        <color rgb="FFFF0000"/>
        <rFont val="Calibri"/>
        <family val="2"/>
        <scheme val="minor"/>
      </rPr>
      <t>HR WILL NOT ACCEPT HANDWRITTEN CALENDARS OR CHANGES.  ALL CALENDARS MUST BE FILLED OUT ELECTRONICALLY FOR ACCURATE CALENDAR TOTALS!!</t>
    </r>
    <r>
      <rPr>
        <sz val="12"/>
        <color theme="1"/>
        <rFont val="Calibri"/>
        <family val="2"/>
        <scheme val="minor"/>
      </rPr>
      <t xml:space="preserve"> School locations and employee can keep other digital copies for reference and use for leave day equivalency help. </t>
    </r>
  </si>
  <si>
    <t xml:space="preserve">Name: </t>
  </si>
  <si>
    <t xml:space="preserve">Location A: </t>
  </si>
  <si>
    <t>Location B:</t>
  </si>
  <si>
    <t>Required Days for Location A:</t>
  </si>
  <si>
    <t>Principal/Director</t>
  </si>
  <si>
    <t>Required Days for Location B:</t>
  </si>
  <si>
    <t>Subject/Grade:</t>
  </si>
  <si>
    <t>Name:</t>
  </si>
  <si>
    <t>Location A:</t>
  </si>
  <si>
    <t xml:space="preserve">Location B: </t>
  </si>
  <si>
    <t>Instructions for Completing the Multiple Location Calendar</t>
  </si>
  <si>
    <t>CTE 207 Day</t>
  </si>
  <si>
    <t>207 Teacher</t>
  </si>
  <si>
    <t>Elem 187</t>
  </si>
  <si>
    <t>Sec 187</t>
  </si>
  <si>
    <t>Flex 187</t>
  </si>
  <si>
    <t>RIDGE VIEW ELEMENTARY</t>
  </si>
  <si>
    <t>MOUNTAIN POINT ELEMENTARY</t>
  </si>
  <si>
    <t>HIDDEN VALLEY MIDDLE</t>
  </si>
  <si>
    <t>MCMS</t>
  </si>
  <si>
    <t>MOUNTAIN CREEK MIDDLE</t>
  </si>
  <si>
    <t>ACCOUNTING/BUDGETS/AUDITS</t>
  </si>
  <si>
    <t>ACCT</t>
  </si>
  <si>
    <t>ACCOUNTS PAYABLE</t>
  </si>
  <si>
    <t>AP</t>
  </si>
  <si>
    <t>ADMIN OF SCHOOLS ELEM 026</t>
  </si>
  <si>
    <t>ADMIN OF SCHOOLS ELEM 027</t>
  </si>
  <si>
    <t>ADMIN OF SCHOOLS ELEM 028</t>
  </si>
  <si>
    <t>ADMIN OF SCHOOLS ELEM 029</t>
  </si>
  <si>
    <t>ADMIN OF SCHOOLS HIGH 024</t>
  </si>
  <si>
    <t>ADMIN OF SCHOOLS MIDDLE 022</t>
  </si>
  <si>
    <t>ANTELOPE CANYON ELEMENTARY</t>
  </si>
  <si>
    <t>ACE</t>
  </si>
  <si>
    <t>ATRISK</t>
  </si>
  <si>
    <t>AUXILIARY SERVICES BLDG</t>
  </si>
  <si>
    <t>AUX</t>
  </si>
  <si>
    <t>BLKRDG</t>
  </si>
  <si>
    <t>BLUFF</t>
  </si>
  <si>
    <t>BUSINESS ADMIN SERVICES</t>
  </si>
  <si>
    <t>CENTRAL WAREHOUSE</t>
  </si>
  <si>
    <t>COLUM</t>
  </si>
  <si>
    <t>COMMUNICATIONS</t>
  </si>
  <si>
    <t>COMM</t>
  </si>
  <si>
    <t>COMPLIANCE  &amp; SPECIAL PROGRAMS</t>
  </si>
  <si>
    <t>CUSTODIAL SERVICES</t>
  </si>
  <si>
    <t>CUST</t>
  </si>
  <si>
    <t>CUSTODIAL-DISTRICT OFFICE</t>
  </si>
  <si>
    <t>DEPUTY SUPERINTENDENT INSTRUCT</t>
  </si>
  <si>
    <t>DEP</t>
  </si>
  <si>
    <t>ENERGY ADVISOR</t>
  </si>
  <si>
    <t>ENERGY</t>
  </si>
  <si>
    <t>FACILITY SERVICES</t>
  </si>
  <si>
    <t>FIXED ASSETS</t>
  </si>
  <si>
    <t>FIXED</t>
  </si>
  <si>
    <t>HEALTH &amp; WELLNESS</t>
  </si>
  <si>
    <t>HUMAN RESOURCES</t>
  </si>
  <si>
    <t>HR</t>
  </si>
  <si>
    <t>A</t>
  </si>
  <si>
    <t>INFORMATION SYSTEMS</t>
  </si>
  <si>
    <t>IS</t>
  </si>
  <si>
    <t>B</t>
  </si>
  <si>
    <t>INSURANCE DEPARTMENT</t>
  </si>
  <si>
    <t>Tech</t>
  </si>
  <si>
    <t>JORDAN ALARM RESPONSE</t>
  </si>
  <si>
    <t>JORDAN EDUCATION FOUNDATION</t>
  </si>
  <si>
    <t>Special</t>
  </si>
  <si>
    <t>MNTVST</t>
  </si>
  <si>
    <t>MTNPT</t>
  </si>
  <si>
    <t>NEW CONSTRUCTION</t>
  </si>
  <si>
    <t>NEWCON</t>
  </si>
  <si>
    <t>NUTRITION SERVICES</t>
  </si>
  <si>
    <t>NUTSER</t>
  </si>
  <si>
    <t>PAYROLL</t>
  </si>
  <si>
    <t>PAY</t>
  </si>
  <si>
    <t>PURCHASING</t>
  </si>
  <si>
    <t>PURCH</t>
  </si>
  <si>
    <t>SOJOEL</t>
  </si>
  <si>
    <t>SOPNT</t>
  </si>
  <si>
    <t>SPED</t>
  </si>
  <si>
    <t>TEACHING AND LEARNING</t>
  </si>
  <si>
    <t>TRANSPORTATION SERVICES</t>
  </si>
  <si>
    <t>VALLEY</t>
  </si>
  <si>
    <t>WELBY</t>
  </si>
  <si>
    <t>WSTLND</t>
  </si>
  <si>
    <t>Due Date</t>
  </si>
  <si>
    <t>Days Remaining</t>
  </si>
  <si>
    <t>Bldg
Code</t>
  </si>
  <si>
    <t>Short Description</t>
  </si>
  <si>
    <t>Long Description</t>
  </si>
  <si>
    <t>Level</t>
  </si>
  <si>
    <t>040</t>
  </si>
  <si>
    <t>ACCOUNTABILITY</t>
  </si>
  <si>
    <t>S</t>
  </si>
  <si>
    <t>083</t>
  </si>
  <si>
    <t>ACCT/BUDG/AUDIT</t>
  </si>
  <si>
    <t>091</t>
  </si>
  <si>
    <t>ACCTS PAYABLE</t>
  </si>
  <si>
    <t>072</t>
  </si>
  <si>
    <t>ALARM RESPONSE</t>
  </si>
  <si>
    <t>050</t>
  </si>
  <si>
    <t>ALT LANGUAGE</t>
  </si>
  <si>
    <t>R</t>
  </si>
  <si>
    <t>137</t>
  </si>
  <si>
    <t>ANTELOPE CANYON</t>
  </si>
  <si>
    <t>026</t>
  </si>
  <si>
    <t>AOS ELEM 026</t>
  </si>
  <si>
    <t>027</t>
  </si>
  <si>
    <t>AOS ELEM 027</t>
  </si>
  <si>
    <t>028</t>
  </si>
  <si>
    <t>AOS ELEM 028</t>
  </si>
  <si>
    <t>029</t>
  </si>
  <si>
    <t>AOS ELEM 029</t>
  </si>
  <si>
    <t>024</t>
  </si>
  <si>
    <t>AOS HIGH 024</t>
  </si>
  <si>
    <t>022</t>
  </si>
  <si>
    <t>AOS MIDDLE 022</t>
  </si>
  <si>
    <t>179</t>
  </si>
  <si>
    <t>ASPEN ELEM</t>
  </si>
  <si>
    <t>ASPEN ELEMENTARY</t>
  </si>
  <si>
    <t>052</t>
  </si>
  <si>
    <t>AT RISK STUDENT</t>
  </si>
  <si>
    <t>098</t>
  </si>
  <si>
    <t>AUX SERV OFFICE</t>
  </si>
  <si>
    <t>AUX SERV OFFICES BLDGS 1,2,3</t>
  </si>
  <si>
    <t>043</t>
  </si>
  <si>
    <t>AUX SERVICES</t>
  </si>
  <si>
    <t>173</t>
  </si>
  <si>
    <t>BASTIAN ELEM</t>
  </si>
  <si>
    <t>704</t>
  </si>
  <si>
    <t>127</t>
  </si>
  <si>
    <t>BLACKRIDGE ELEM</t>
  </si>
  <si>
    <t>109</t>
  </si>
  <si>
    <t>BLUFFDALE ELEM</t>
  </si>
  <si>
    <t>081</t>
  </si>
  <si>
    <t>BUSINESS ADMIN</t>
  </si>
  <si>
    <t>177</t>
  </si>
  <si>
    <t>BUTTERFLD ELEM</t>
  </si>
  <si>
    <t>057</t>
  </si>
  <si>
    <t>CAREER/TECH ED</t>
  </si>
  <si>
    <t>079</t>
  </si>
  <si>
    <t>CENTRAL WHSE</t>
  </si>
  <si>
    <t>111</t>
  </si>
  <si>
    <t>COLUMBIA ELEM</t>
  </si>
  <si>
    <t>051</t>
  </si>
  <si>
    <t>048</t>
  </si>
  <si>
    <t>COMPLIANCE</t>
  </si>
  <si>
    <t>175</t>
  </si>
  <si>
    <t>COPPER CANYON</t>
  </si>
  <si>
    <t>703</t>
  </si>
  <si>
    <t>COPPER HILLS HS</t>
  </si>
  <si>
    <t>419</t>
  </si>
  <si>
    <t>COPPER MOUNTAIN</t>
  </si>
  <si>
    <t>075</t>
  </si>
  <si>
    <t>CUSTODIAL SERV</t>
  </si>
  <si>
    <t>099</t>
  </si>
  <si>
    <t>CUSTODIAL-DO</t>
  </si>
  <si>
    <t>115</t>
  </si>
  <si>
    <t>DAYBREAK ELEM</t>
  </si>
  <si>
    <t>041</t>
  </si>
  <si>
    <t>DEP SUPT INST S</t>
  </si>
  <si>
    <t>118</t>
  </si>
  <si>
    <t>EASTLAKE ELEM</t>
  </si>
  <si>
    <t>059</t>
  </si>
  <si>
    <t>EDUC LANGUAGE</t>
  </si>
  <si>
    <t>EDUCATIONAL LANGUAGE SERVICES</t>
  </si>
  <si>
    <t>126</t>
  </si>
  <si>
    <t>ELK MEADOWS</t>
  </si>
  <si>
    <t>413</t>
  </si>
  <si>
    <t>ELK RIDGE MS</t>
  </si>
  <si>
    <t>071</t>
  </si>
  <si>
    <t>078</t>
  </si>
  <si>
    <t>FACILITY SERV</t>
  </si>
  <si>
    <t>128</t>
  </si>
  <si>
    <t>FALCON RIDGE</t>
  </si>
  <si>
    <t>095</t>
  </si>
  <si>
    <t>176</t>
  </si>
  <si>
    <t>FOOTHILLS ELEM</t>
  </si>
  <si>
    <t>121</t>
  </si>
  <si>
    <t>FOX HOLLOW ELEM</t>
  </si>
  <si>
    <t>417</t>
  </si>
  <si>
    <t>FT HERRIMAN MS</t>
  </si>
  <si>
    <t>139</t>
  </si>
  <si>
    <t>GOLDEN FIELDS</t>
  </si>
  <si>
    <t>054</t>
  </si>
  <si>
    <t>131</t>
  </si>
  <si>
    <t>HAYDEN PEAK</t>
  </si>
  <si>
    <t>056</t>
  </si>
  <si>
    <t>HEALTH&amp;WELLNESS</t>
  </si>
  <si>
    <t>132</t>
  </si>
  <si>
    <t>HEARTLAND ELEM</t>
  </si>
  <si>
    <t>136</t>
  </si>
  <si>
    <t>HERRIMAN ELEM</t>
  </si>
  <si>
    <t>707</t>
  </si>
  <si>
    <t>421</t>
  </si>
  <si>
    <t>HIDDEN VALLEY</t>
  </si>
  <si>
    <t>045</t>
  </si>
  <si>
    <t>080</t>
  </si>
  <si>
    <t>INFORMATION SYS</t>
  </si>
  <si>
    <t>073</t>
  </si>
  <si>
    <t>INSTR SUPPORT</t>
  </si>
  <si>
    <t>046</t>
  </si>
  <si>
    <t>INSURANCE DEPT</t>
  </si>
  <si>
    <t>741</t>
  </si>
  <si>
    <t>744</t>
  </si>
  <si>
    <t>406</t>
  </si>
  <si>
    <t>JOEL P JENSEN</t>
  </si>
  <si>
    <t>055</t>
  </si>
  <si>
    <t>JORDAN EDUC FND</t>
  </si>
  <si>
    <t>134</t>
  </si>
  <si>
    <t>JORDAN HILLS</t>
  </si>
  <si>
    <t>133</t>
  </si>
  <si>
    <t>JORDAN RIDGE</t>
  </si>
  <si>
    <t>830</t>
  </si>
  <si>
    <t>KAURI SUE</t>
  </si>
  <si>
    <t>490</t>
  </si>
  <si>
    <t>KELSEY PEAK MS</t>
  </si>
  <si>
    <t>KELSEY PEAK MIDDLE</t>
  </si>
  <si>
    <t>790</t>
  </si>
  <si>
    <t>KINGS PEAK HIGH</t>
  </si>
  <si>
    <t>138</t>
  </si>
  <si>
    <t>MAJESTIC ELEM</t>
  </si>
  <si>
    <t>119</t>
  </si>
  <si>
    <t>MIDAS CREEK</t>
  </si>
  <si>
    <t>146</t>
  </si>
  <si>
    <t>MONTE VISTA</t>
  </si>
  <si>
    <t>422</t>
  </si>
  <si>
    <t>MOUNTAIN CREEK</t>
  </si>
  <si>
    <t>129</t>
  </si>
  <si>
    <t>MOUNTAIN POINT</t>
  </si>
  <si>
    <t>715</t>
  </si>
  <si>
    <t>MOUNTAIN RIDGE</t>
  </si>
  <si>
    <t>145</t>
  </si>
  <si>
    <t>MTN SHADOWS</t>
  </si>
  <si>
    <t>076</t>
  </si>
  <si>
    <t>NEW CONSTRUCTN</t>
  </si>
  <si>
    <t>074</t>
  </si>
  <si>
    <t>NUTRITION SERV</t>
  </si>
  <si>
    <t>114</t>
  </si>
  <si>
    <t>OAKCREST ELEM</t>
  </si>
  <si>
    <t>147</t>
  </si>
  <si>
    <t>OQUIRRH ELEM</t>
  </si>
  <si>
    <t>409</t>
  </si>
  <si>
    <t>OQUIRRH HILLS</t>
  </si>
  <si>
    <t>089</t>
  </si>
  <si>
    <t>053</t>
  </si>
  <si>
    <t>PLAN &amp; STUDENT</t>
  </si>
  <si>
    <t>800</t>
  </si>
  <si>
    <t>PRESCHL/CDC</t>
  </si>
  <si>
    <t>087</t>
  </si>
  <si>
    <t>125</t>
  </si>
  <si>
    <t>RIDGE VIEW ELEM</t>
  </si>
  <si>
    <t>820</t>
  </si>
  <si>
    <t>153</t>
  </si>
  <si>
    <t>RIVERSIDE ELEM</t>
  </si>
  <si>
    <t>152</t>
  </si>
  <si>
    <t>RIVERTON ELEM</t>
  </si>
  <si>
    <t>710</t>
  </si>
  <si>
    <t>190</t>
  </si>
  <si>
    <t>ROCKY PEAK EL</t>
  </si>
  <si>
    <t>ROCKY PEAK ELEMENTARY</t>
  </si>
  <si>
    <t>157</t>
  </si>
  <si>
    <t>ROSAMOND ELEM</t>
  </si>
  <si>
    <t>163</t>
  </si>
  <si>
    <t>ROSE CREEK ELEM</t>
  </si>
  <si>
    <t>117</t>
  </si>
  <si>
    <t>SILVER CREST</t>
  </si>
  <si>
    <t>160</t>
  </si>
  <si>
    <t>SO JORDAN ELEM</t>
  </si>
  <si>
    <t>415</t>
  </si>
  <si>
    <t>SOUTH HILLS MS</t>
  </si>
  <si>
    <t>411</t>
  </si>
  <si>
    <t>SOUTH JORDAN MS</t>
  </si>
  <si>
    <t>981</t>
  </si>
  <si>
    <t>SOUTH POINTE HI</t>
  </si>
  <si>
    <t>802</t>
  </si>
  <si>
    <t>161</t>
  </si>
  <si>
    <t>SOUTHLAND ELEM</t>
  </si>
  <si>
    <t>047</t>
  </si>
  <si>
    <t>SPECIAL ED</t>
  </si>
  <si>
    <t>416</t>
  </si>
  <si>
    <t>SUNSET RIDGE MS</t>
  </si>
  <si>
    <t>014</t>
  </si>
  <si>
    <t>SUPERINTENDENT</t>
  </si>
  <si>
    <t>SUPERINTENDENT'S OFFICE</t>
  </si>
  <si>
    <t>049</t>
  </si>
  <si>
    <t>TEACH AND LEARN</t>
  </si>
  <si>
    <t>162</t>
  </si>
  <si>
    <t>TERRA LINDA</t>
  </si>
  <si>
    <t>077</t>
  </si>
  <si>
    <t>TRANSPORTATION</t>
  </si>
  <si>
    <t>716</t>
  </si>
  <si>
    <t>167</t>
  </si>
  <si>
    <t>WELBY ELEM</t>
  </si>
  <si>
    <t>414</t>
  </si>
  <si>
    <t>WEST HILLS MS</t>
  </si>
  <si>
    <t>718</t>
  </si>
  <si>
    <t>WEST JORDAN HS</t>
  </si>
  <si>
    <t>412</t>
  </si>
  <si>
    <t>WEST JORDAN MS</t>
  </si>
  <si>
    <t>170</t>
  </si>
  <si>
    <t>WESTLAND ELEM</t>
  </si>
  <si>
    <t>169</t>
  </si>
  <si>
    <t>WESTVALE ELEM</t>
  </si>
  <si>
    <t>Abbreviation</t>
  </si>
  <si>
    <t>ACC</t>
  </si>
  <si>
    <t>ALT</t>
  </si>
  <si>
    <t>ALARM</t>
  </si>
  <si>
    <t>ASPEN</t>
  </si>
  <si>
    <t>BASTIAN</t>
  </si>
  <si>
    <t>BTRFLD</t>
  </si>
  <si>
    <t>CENT</t>
  </si>
  <si>
    <t>CMP</t>
  </si>
  <si>
    <t>CPRCAN</t>
  </si>
  <si>
    <t>DAYBRK</t>
  </si>
  <si>
    <t>ESTLKE</t>
  </si>
  <si>
    <t>EDLAN</t>
  </si>
  <si>
    <t>ELKMD</t>
  </si>
  <si>
    <t>FACIL</t>
  </si>
  <si>
    <t>FLNRG</t>
  </si>
  <si>
    <t>FOOT</t>
  </si>
  <si>
    <t>FOXHL</t>
  </si>
  <si>
    <t>GLDNFD</t>
  </si>
  <si>
    <t>GUID</t>
  </si>
  <si>
    <t>HDNPK</t>
  </si>
  <si>
    <t>HEALTH</t>
  </si>
  <si>
    <t>HRTLND</t>
  </si>
  <si>
    <t>HEREL</t>
  </si>
  <si>
    <t>HDNVAL</t>
  </si>
  <si>
    <t>INST</t>
  </si>
  <si>
    <t>INSU</t>
  </si>
  <si>
    <t>JORED</t>
  </si>
  <si>
    <t>JRDNHLS</t>
  </si>
  <si>
    <t>JORDNRG</t>
  </si>
  <si>
    <t>KAURI</t>
  </si>
  <si>
    <t>KELSEY</t>
  </si>
  <si>
    <t>KINGS</t>
  </si>
  <si>
    <t>MAJEST</t>
  </si>
  <si>
    <t>MDSCRK</t>
  </si>
  <si>
    <t>MTNSH</t>
  </si>
  <si>
    <t>OAKCST</t>
  </si>
  <si>
    <t>OQUIRRH</t>
  </si>
  <si>
    <t>STUDENT</t>
  </si>
  <si>
    <t>RDGVIEW</t>
  </si>
  <si>
    <t>RVRSEDGE</t>
  </si>
  <si>
    <t>RVRSIDE</t>
  </si>
  <si>
    <t>RVTNEL</t>
  </si>
  <si>
    <t>ROCKY</t>
  </si>
  <si>
    <t>ROSA</t>
  </si>
  <si>
    <t>RSECRK</t>
  </si>
  <si>
    <t>SLVCRT</t>
  </si>
  <si>
    <t>SOHILLS</t>
  </si>
  <si>
    <t>SOVAL</t>
  </si>
  <si>
    <t>SOUTH</t>
  </si>
  <si>
    <t>SUPER</t>
  </si>
  <si>
    <t>TRRALNDA</t>
  </si>
  <si>
    <t>TRANS</t>
  </si>
  <si>
    <t>WHILLS</t>
  </si>
  <si>
    <t>WSTVALE</t>
  </si>
  <si>
    <t>Health and Wellness Day</t>
  </si>
  <si>
    <t>OAK LEAF ELEM</t>
  </si>
  <si>
    <t>OAK LEAF ELEMENTARY</t>
  </si>
  <si>
    <t>OAKLF</t>
  </si>
  <si>
    <r>
      <t xml:space="preserve">PLEASE do </t>
    </r>
    <r>
      <rPr>
        <b/>
        <u/>
        <sz val="14"/>
        <color rgb="FFFF0000"/>
        <rFont val="Calibri"/>
        <family val="2"/>
        <scheme val="minor"/>
      </rPr>
      <t>NOT</t>
    </r>
    <r>
      <rPr>
        <sz val="14"/>
        <color rgb="FFFF0000"/>
        <rFont val="Calibri"/>
        <family val="2"/>
        <scheme val="minor"/>
      </rPr>
      <t xml:space="preserve"> use Google Sheets to complete this calendar.  The formulas will not work correctly!  You must download file and open in Excel.</t>
    </r>
  </si>
  <si>
    <r>
      <t xml:space="preserve">Calendars may only be changed </t>
    </r>
    <r>
      <rPr>
        <b/>
        <sz val="12"/>
        <color theme="1"/>
        <rFont val="Calibri"/>
        <family val="2"/>
        <scheme val="minor"/>
      </rPr>
      <t>twice</t>
    </r>
    <r>
      <rPr>
        <sz val="12"/>
        <color theme="1"/>
        <rFont val="Calibri"/>
        <family val="2"/>
        <scheme val="minor"/>
      </rPr>
      <t xml:space="preserve"> per contract year. Revisions must be preapproved and signed by each principal/director and a new calendar for both locations submitted to HR.</t>
    </r>
  </si>
  <si>
    <r>
      <rPr>
        <b/>
        <sz val="12"/>
        <color rgb="FFC00000"/>
        <rFont val="Calibri"/>
        <family val="2"/>
        <scheme val="minor"/>
      </rPr>
      <t xml:space="preserve">This calendar must be followed as outlined.  Not following the approved calendar could result in loss of benefits including, but not limited to, insurance benefits, leave benefits, time entry and may also result in over/under payment of individual contract.  Calendars may be changed twice per contract year. Revisions must be preapproved and signed by the principal/director and a new calendar submitted to HR. </t>
    </r>
    <r>
      <rPr>
        <sz val="12"/>
        <color rgb="FFC00000"/>
        <rFont val="Calibri"/>
        <family val="2"/>
        <scheme val="minor"/>
      </rPr>
      <t xml:space="preserve">  </t>
    </r>
    <r>
      <rPr>
        <sz val="12"/>
        <color theme="1"/>
        <rFont val="Calibri"/>
        <family val="2"/>
        <scheme val="minor"/>
      </rPr>
      <t xml:space="preserve"> </t>
    </r>
  </si>
  <si>
    <r>
      <rPr>
        <b/>
        <sz val="12"/>
        <color rgb="FFC00000"/>
        <rFont val="Calibri"/>
        <family val="2"/>
        <scheme val="minor"/>
      </rPr>
      <t xml:space="preserve">This calendar must be followed as outlined.  Not following the approved calendar could result in loss of benefits including, but not limited to, insurance benefits, leave benefits, time entry and may also result in over/under payment of individual contract.  Calendars may be changed twice per contract year. Revisions must be preapproved and signed by the principal/director and a new calendar submitted to HR. </t>
    </r>
    <r>
      <rPr>
        <sz val="12"/>
        <color rgb="FFC00000"/>
        <rFont val="Calibri"/>
        <family val="2"/>
        <scheme val="minor"/>
      </rPr>
      <t xml:space="preserve">  </t>
    </r>
    <r>
      <rPr>
        <sz val="11"/>
        <color theme="1"/>
        <rFont val="Calibri"/>
        <family val="2"/>
        <scheme val="minor"/>
      </rPr>
      <t xml:space="preserve"> </t>
    </r>
  </si>
  <si>
    <t xml:space="preserve">This calendar must be followed as outlined.  Not following the approved calendar could result in loss of benefits including, but not limited to, insurance benefits, leave benefits, time entry and may also result in over/under payment of individual contract.  Calendars may be changed twice per contract year. Revisions must be preapproved and signed by the principal/director and a new calendar submitted to HR.    </t>
  </si>
  <si>
    <t>Original, completed calendar must be signed by the Employee and the Administrator and submitted to Human Resources by May 5, 2023  Must be completed electronically.  Handwritten changes will not be accepted by Human Resources.</t>
  </si>
  <si>
    <t>Original, completed calendar must be signed by the Employee and the Administrator and submitted to Human Resources by May 5, 2023.  Must be completed electronically.  Handwritten changes will not be accepted by Human Resources.</t>
  </si>
  <si>
    <t>Secondary:</t>
  </si>
  <si>
    <t>Comp</t>
  </si>
  <si>
    <t>GTD</t>
  </si>
  <si>
    <t>PD</t>
  </si>
  <si>
    <t>HW</t>
  </si>
  <si>
    <t>189</t>
  </si>
  <si>
    <t>JUNIPER ELEM</t>
  </si>
  <si>
    <t>JUNIPER ELEMEMTARY</t>
  </si>
  <si>
    <t>LANG&amp;CULT SERV</t>
  </si>
  <si>
    <t>LANGUAGE AND CULTURE SERVICES</t>
  </si>
  <si>
    <t>141</t>
  </si>
  <si>
    <t>JUNIP</t>
  </si>
  <si>
    <t>LCS</t>
  </si>
  <si>
    <t>pd</t>
  </si>
  <si>
    <r>
      <t xml:space="preserve">There are a </t>
    </r>
    <r>
      <rPr>
        <b/>
        <sz val="12"/>
        <color rgb="FFFF0000"/>
        <rFont val="Calibri"/>
        <family val="2"/>
        <scheme val="minor"/>
      </rPr>
      <t>mandatory</t>
    </r>
    <r>
      <rPr>
        <sz val="12"/>
        <color theme="1"/>
        <rFont val="Calibri"/>
        <family val="2"/>
        <scheme val="minor"/>
      </rPr>
      <t xml:space="preserve"> Professional Development days on S</t>
    </r>
    <r>
      <rPr>
        <b/>
        <sz val="12"/>
        <color rgb="FFFF0000"/>
        <rFont val="Calibri"/>
        <family val="2"/>
        <scheme val="minor"/>
      </rPr>
      <t xml:space="preserve">eptember 25, 2026 Elem/October 2, 2026 Sec </t>
    </r>
    <r>
      <rPr>
        <sz val="12"/>
        <color theme="1"/>
        <rFont val="Calibri"/>
        <family val="2"/>
        <scheme val="minor"/>
      </rPr>
      <t xml:space="preserve">and </t>
    </r>
    <r>
      <rPr>
        <b/>
        <sz val="12"/>
        <color rgb="FFFF0000"/>
        <rFont val="Calibri"/>
        <family val="2"/>
        <scheme val="minor"/>
      </rPr>
      <t>November 13, 2026 All</t>
    </r>
    <r>
      <rPr>
        <sz val="12"/>
        <color theme="1"/>
        <rFont val="Calibri"/>
        <family val="2"/>
        <scheme val="minor"/>
      </rPr>
      <t xml:space="preserve">.  These days </t>
    </r>
    <r>
      <rPr>
        <b/>
        <sz val="12"/>
        <color rgb="FFFF0000"/>
        <rFont val="Calibri"/>
        <family val="2"/>
        <scheme val="minor"/>
      </rPr>
      <t>must</t>
    </r>
    <r>
      <rPr>
        <sz val="12"/>
        <color theme="1"/>
        <rFont val="Calibri"/>
        <family val="2"/>
        <scheme val="minor"/>
      </rPr>
      <t xml:space="preserve"> be marked as a contract day.  Employees are only required to work their required daily FTE on this day.  (ex.  0.5 FTE only has to attend 4 hours.) </t>
    </r>
  </si>
  <si>
    <r>
      <t xml:space="preserve">There is a Health and Wellness day on </t>
    </r>
    <r>
      <rPr>
        <b/>
        <sz val="12"/>
        <color rgb="FF00B050"/>
        <rFont val="Calibri"/>
        <family val="2"/>
        <scheme val="minor"/>
      </rPr>
      <t>February 5, 2027</t>
    </r>
    <r>
      <rPr>
        <sz val="12"/>
        <color theme="1"/>
        <rFont val="Calibri"/>
        <family val="2"/>
        <scheme val="minor"/>
      </rPr>
      <t xml:space="preserve">.  This day (according to your locations) </t>
    </r>
    <r>
      <rPr>
        <b/>
        <sz val="12"/>
        <rFont val="Calibri"/>
        <family val="2"/>
        <scheme val="minor"/>
      </rPr>
      <t>must</t>
    </r>
    <r>
      <rPr>
        <sz val="12"/>
        <color theme="1"/>
        <rFont val="Calibri"/>
        <family val="2"/>
        <scheme val="minor"/>
      </rPr>
      <t xml:space="preserve"> be marked as a contract day.</t>
    </r>
  </si>
  <si>
    <t>9/30/26-10/1/26</t>
  </si>
  <si>
    <t>9/23/26-9/24/26</t>
  </si>
  <si>
    <t>2/10/27-2/11/27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</si>
</sst>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dd/yy;@"/>
    <numFmt numFmtId="165" formatCode="d"/>
    <numFmt numFmtId="166" formatCode="ddd"/>
    <numFmt numFmtId="167" formatCode="[$-F800]dddd\,\ mmmm\ dd\,\ yyyy"/>
  </numFmts>
  <fonts count="58" x14ac:knownFonts="1">
    <font>
      <sz val="11"/>
      <color theme="1"/>
      <name val="Calibri"/>
      <family val="2"/>
      <scheme val="minor"/>
    </font>
    <font>
      <b/>
      <sz val="11"/>
      <color theme="0"/>
      <name val="Calibri"/>
      <family val="2"/>
      <scheme val="minor"/>
    </font>
    <font>
      <b/>
      <u/>
      <sz val="14"/>
      <name val="Segoe UI"/>
      <family val="2"/>
    </font>
    <font>
      <b/>
      <sz val="12"/>
      <name val="Calibri"/>
      <family val="2"/>
      <scheme val="minor"/>
    </font>
    <font>
      <b/>
      <sz val="10"/>
      <name val="Calibri"/>
      <family val="2"/>
      <scheme val="minor"/>
    </font>
    <font>
      <b/>
      <sz val="14"/>
      <name val="Calibri"/>
      <family val="2"/>
      <scheme val="minor"/>
    </font>
    <font>
      <b/>
      <sz val="11"/>
      <name val="Calibri"/>
      <family val="2"/>
      <scheme val="minor"/>
    </font>
    <font>
      <u/>
      <sz val="10"/>
      <name val="Arial"/>
      <family val="2"/>
    </font>
    <font>
      <sz val="8"/>
      <name val="Calibri"/>
      <family val="2"/>
      <scheme val="minor"/>
    </font>
    <font>
      <b/>
      <sz val="12"/>
      <color theme="1"/>
      <name val="Calibri"/>
      <family val="2"/>
      <scheme val="minor"/>
    </font>
    <font>
      <b/>
      <sz val="9"/>
      <name val="Calibri"/>
      <family val="2"/>
      <scheme val="minor"/>
    </font>
    <font>
      <sz val="10"/>
      <color theme="1"/>
      <name val="Calibri"/>
      <family val="2"/>
      <scheme val="minor"/>
    </font>
    <font>
      <b/>
      <sz val="10"/>
      <name val="Arial"/>
      <family val="2"/>
    </font>
    <font>
      <sz val="6"/>
      <name val="Arial"/>
      <family val="2"/>
    </font>
    <font>
      <sz val="11"/>
      <name val="Arial"/>
      <family val="2"/>
    </font>
    <font>
      <b/>
      <sz val="8"/>
      <name val="Arial"/>
      <family val="2"/>
    </font>
    <font>
      <sz val="10"/>
      <name val="Calibri"/>
      <family val="2"/>
      <scheme val="minor"/>
    </font>
    <font>
      <sz val="8"/>
      <name val="Arial"/>
      <family val="2"/>
    </font>
    <font>
      <b/>
      <i/>
      <sz val="10"/>
      <name val="Calibri"/>
      <family val="2"/>
      <scheme val="minor"/>
    </font>
    <font>
      <i/>
      <sz val="9"/>
      <name val="Calibri"/>
      <family val="2"/>
      <scheme val="minor"/>
    </font>
    <font>
      <b/>
      <i/>
      <sz val="10"/>
      <color rgb="FFC00000"/>
      <name val="Calibri"/>
      <family val="2"/>
      <scheme val="minor"/>
    </font>
    <font>
      <b/>
      <u/>
      <sz val="9"/>
      <name val="Calibri"/>
      <family val="2"/>
      <scheme val="minor"/>
    </font>
    <font>
      <sz val="7.5"/>
      <name val="Calibri"/>
      <family val="2"/>
      <scheme val="minor"/>
    </font>
    <font>
      <i/>
      <sz val="8"/>
      <name val="Calibri"/>
      <family val="2"/>
      <scheme val="minor"/>
    </font>
    <font>
      <b/>
      <sz val="11"/>
      <color theme="1"/>
      <name val="Calibri"/>
      <family val="2"/>
      <scheme val="minor"/>
    </font>
    <font>
      <b/>
      <u/>
      <sz val="12"/>
      <color theme="1"/>
      <name val="Calibri"/>
      <family val="2"/>
      <scheme val="minor"/>
    </font>
    <font>
      <sz val="12"/>
      <color theme="1"/>
      <name val="Calibri"/>
      <family val="2"/>
      <scheme val="minor"/>
    </font>
    <font>
      <b/>
      <sz val="14"/>
      <color rgb="FFC00000"/>
      <name val="Calibri"/>
      <family val="2"/>
      <scheme val="minor"/>
    </font>
    <font>
      <b/>
      <u/>
      <sz val="14"/>
      <color theme="8" tint="-0.249977111117893"/>
      <name val="Calibri"/>
      <family val="2"/>
      <scheme val="minor"/>
    </font>
    <font>
      <sz val="12"/>
      <color theme="1"/>
      <name val="Wingdings"/>
      <charset val="2"/>
    </font>
    <font>
      <i/>
      <sz val="12"/>
      <color theme="1"/>
      <name val="Calibri"/>
      <family val="2"/>
      <scheme val="minor"/>
    </font>
    <font>
      <b/>
      <sz val="11"/>
      <color rgb="FFC00000"/>
      <name val="Calibri"/>
      <family val="2"/>
      <scheme val="minor"/>
    </font>
    <font>
      <sz val="11"/>
      <color rgb="FFC00000"/>
      <name val="Calibri"/>
      <family val="2"/>
      <scheme val="minor"/>
    </font>
    <font>
      <sz val="11"/>
      <color theme="0"/>
      <name val="Calibri"/>
      <family val="2"/>
      <scheme val="minor"/>
    </font>
    <font>
      <b/>
      <sz val="14"/>
      <color theme="1"/>
      <name val="Calibri"/>
      <family val="2"/>
      <scheme val="minor"/>
    </font>
    <font>
      <sz val="11"/>
      <color theme="1"/>
      <name val="Wingdings"/>
      <charset val="2"/>
    </font>
    <font>
      <b/>
      <i/>
      <sz val="8"/>
      <name val="Calibri"/>
      <family val="2"/>
      <scheme val="minor"/>
    </font>
    <font>
      <sz val="8"/>
      <color rgb="FF000000"/>
      <name val="Segoe UI"/>
      <family val="2"/>
    </font>
    <font>
      <b/>
      <sz val="10"/>
      <color theme="1"/>
      <name val="Calibri"/>
      <family val="2"/>
      <scheme val="minor"/>
    </font>
    <font>
      <i/>
      <sz val="10"/>
      <color theme="1"/>
      <name val="Calibri"/>
      <family val="2"/>
      <scheme val="minor"/>
    </font>
    <font>
      <b/>
      <u/>
      <sz val="11"/>
      <color theme="1"/>
      <name val="Calibri"/>
      <family val="2"/>
      <scheme val="minor"/>
    </font>
    <font>
      <b/>
      <u/>
      <sz val="11"/>
      <name val="Calibri"/>
      <family val="2"/>
      <scheme val="minor"/>
    </font>
    <font>
      <b/>
      <sz val="14"/>
      <color theme="5" tint="-0.249977111117893"/>
      <name val="Calibri"/>
      <family val="2"/>
      <scheme val="minor"/>
    </font>
    <font>
      <b/>
      <sz val="16"/>
      <color rgb="FF0070C0"/>
      <name val="Calibri"/>
      <family val="2"/>
      <scheme val="minor"/>
    </font>
    <font>
      <b/>
      <i/>
      <sz val="9"/>
      <name val="Calibri"/>
      <family val="2"/>
      <scheme val="minor"/>
    </font>
    <font>
      <sz val="22"/>
      <color theme="1"/>
      <name val="Wingdings"/>
      <charset val="2"/>
    </font>
    <font>
      <sz val="11"/>
      <name val="Calibri"/>
      <family val="2"/>
      <scheme val="minor"/>
    </font>
    <font>
      <b/>
      <sz val="12"/>
      <color rgb="FFFF0000"/>
      <name val="Calibri"/>
      <family val="2"/>
      <scheme val="minor"/>
    </font>
    <font>
      <sz val="9"/>
      <name val="Calibri"/>
      <family val="2"/>
      <scheme val="minor"/>
    </font>
    <font>
      <b/>
      <sz val="11"/>
      <color rgb="FFFF0000"/>
      <name val="Calibri"/>
      <family val="2"/>
      <scheme val="minor"/>
    </font>
    <font>
      <b/>
      <sz val="10"/>
      <color rgb="FFC00000"/>
      <name val="Calibri"/>
      <family val="2"/>
      <scheme val="minor"/>
    </font>
    <font>
      <sz val="14"/>
      <color rgb="FFFF0000"/>
      <name val="Calibri"/>
      <family val="2"/>
      <scheme val="minor"/>
    </font>
    <font>
      <b/>
      <sz val="11"/>
      <color rgb="FF000000"/>
      <name val="Calibri"/>
      <family val="2"/>
    </font>
    <font>
      <sz val="12"/>
      <color rgb="FF202124"/>
      <name val="Arial"/>
      <family val="2"/>
    </font>
    <font>
      <b/>
      <sz val="12"/>
      <color rgb="FF00B050"/>
      <name val="Calibri"/>
      <family val="2"/>
      <scheme val="minor"/>
    </font>
    <font>
      <b/>
      <u/>
      <sz val="14"/>
      <color rgb="FFFF0000"/>
      <name val="Calibri"/>
      <family val="2"/>
      <scheme val="minor"/>
    </font>
    <font>
      <b/>
      <sz val="12"/>
      <color rgb="FFC00000"/>
      <name val="Calibri"/>
      <family val="2"/>
      <scheme val="minor"/>
    </font>
    <font>
      <sz val="12"/>
      <color rgb="FFC00000"/>
      <name val="Calibri"/>
      <family val="2"/>
      <scheme val="minor"/>
    </font>
  </fonts>
  <fills count="20">
    <fill>
      <patternFill patternType="none"/>
    </fill>
    <fill>
      <patternFill patternType="gray125"/>
    </fill>
    <fill>
      <patternFill patternType="gray0625">
        <bgColor indexed="22"/>
      </patternFill>
    </fill>
    <fill>
      <patternFill patternType="solid">
        <fgColor rgb="FFFFCCFF"/>
        <bgColor indexed="64"/>
      </patternFill>
    </fill>
    <fill>
      <patternFill patternType="solid">
        <fgColor theme="0"/>
        <bgColor indexed="64"/>
      </patternFill>
    </fill>
    <fill>
      <patternFill patternType="solid">
        <fgColor theme="5" tint="-0.249977111117893"/>
        <bgColor indexed="64"/>
      </patternFill>
    </fill>
    <fill>
      <patternFill patternType="solid">
        <fgColor theme="0" tint="-4.9989318521683403E-2"/>
        <bgColor indexed="64"/>
      </patternFill>
    </fill>
    <fill>
      <patternFill patternType="solid">
        <fgColor theme="7" tint="0.39997558519241921"/>
        <bgColor indexed="64"/>
      </patternFill>
    </fill>
    <fill>
      <patternFill patternType="solid">
        <fgColor theme="2"/>
        <bgColor indexed="64"/>
      </patternFill>
    </fill>
    <fill>
      <patternFill patternType="solid">
        <fgColor theme="9" tint="0.39997558519241921"/>
        <bgColor indexed="64"/>
      </patternFill>
    </fill>
    <fill>
      <patternFill patternType="solid">
        <fgColor rgb="FFFF0000"/>
        <bgColor indexed="64"/>
      </patternFill>
    </fill>
    <fill>
      <patternFill patternType="solid">
        <fgColor rgb="FF66FF66"/>
        <bgColor indexed="64"/>
      </patternFill>
    </fill>
    <fill>
      <patternFill patternType="solid">
        <fgColor rgb="FF66FFFF"/>
        <bgColor indexed="64"/>
      </patternFill>
    </fill>
    <fill>
      <patternFill patternType="solid">
        <fgColor rgb="FF0070C0"/>
        <bgColor indexed="64"/>
      </patternFill>
    </fill>
    <fill>
      <patternFill patternType="solid">
        <fgColor rgb="FFFF99FF"/>
        <bgColor indexed="64"/>
      </patternFill>
    </fill>
    <fill>
      <patternFill patternType="lightDown">
        <bgColor auto="1"/>
      </patternFill>
    </fill>
    <fill>
      <patternFill patternType="solid">
        <fgColor rgb="FFFFFF00"/>
        <bgColor indexed="64"/>
      </patternFill>
    </fill>
    <fill>
      <patternFill patternType="solid">
        <fgColor rgb="FFFFC000"/>
        <bgColor indexed="64"/>
      </patternFill>
    </fill>
    <fill>
      <patternFill patternType="solid">
        <fgColor theme="9"/>
        <bgColor indexed="64"/>
      </patternFill>
    </fill>
    <fill>
      <patternFill patternType="solid">
        <fgColor rgb="FF00B050"/>
        <bgColor indexed="64"/>
      </patternFill>
    </fill>
  </fills>
  <borders count="48">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bottom/>
      <diagonal/>
    </border>
    <border>
      <left/>
      <right style="medium">
        <color indexed="64"/>
      </right>
      <top/>
      <bottom/>
      <diagonal/>
    </border>
    <border>
      <left/>
      <right style="thin">
        <color indexed="64"/>
      </right>
      <top style="thin">
        <color indexed="64"/>
      </top>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bottom style="thin">
        <color indexed="64"/>
      </bottom>
      <diagonal/>
    </border>
    <border>
      <left/>
      <right style="medium">
        <color indexed="64"/>
      </right>
      <top/>
      <bottom style="medium">
        <color indexed="64"/>
      </bottom>
      <diagonal/>
    </border>
    <border>
      <left style="thin">
        <color indexed="64"/>
      </left>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dashed">
        <color theme="0" tint="-0.14999847407452621"/>
      </bottom>
      <diagonal/>
    </border>
    <border>
      <left style="thin">
        <color indexed="64"/>
      </left>
      <right/>
      <top style="medium">
        <color indexed="64"/>
      </top>
      <bottom style="dashed">
        <color theme="0" tint="-0.14999847407452621"/>
      </bottom>
      <diagonal/>
    </border>
    <border>
      <left style="thin">
        <color indexed="64"/>
      </left>
      <right style="medium">
        <color indexed="64"/>
      </right>
      <top style="medium">
        <color indexed="64"/>
      </top>
      <bottom style="dashed">
        <color theme="0" tint="-0.14999847407452621"/>
      </bottom>
      <diagonal/>
    </border>
    <border>
      <left style="medium">
        <color indexed="64"/>
      </left>
      <right/>
      <top style="thin">
        <color indexed="64"/>
      </top>
      <bottom style="dashed">
        <color theme="0" tint="-0.14999847407452621"/>
      </bottom>
      <diagonal/>
    </border>
    <border>
      <left style="thin">
        <color indexed="64"/>
      </left>
      <right/>
      <top style="thin">
        <color indexed="64"/>
      </top>
      <bottom style="dashed">
        <color theme="0" tint="-0.14999847407452621"/>
      </bottom>
      <diagonal/>
    </border>
    <border>
      <left style="thin">
        <color indexed="64"/>
      </left>
      <right style="medium">
        <color indexed="64"/>
      </right>
      <top style="thin">
        <color indexed="64"/>
      </top>
      <bottom style="dashed">
        <color theme="0" tint="-0.14999847407452621"/>
      </bottom>
      <diagonal/>
    </border>
    <border>
      <left style="thin">
        <color indexed="64"/>
      </left>
      <right style="medium">
        <color indexed="64"/>
      </right>
      <top style="dashed">
        <color theme="0" tint="-0.14999847407452621"/>
      </top>
      <bottom style="thin">
        <color indexed="64"/>
      </bottom>
      <diagonal/>
    </border>
    <border>
      <left style="thin">
        <color indexed="64"/>
      </left>
      <right/>
      <top style="dashed">
        <color theme="0" tint="-0.14999847407452621"/>
      </top>
      <bottom style="thin">
        <color indexed="64"/>
      </bottom>
      <diagonal/>
    </border>
    <border>
      <left style="thin">
        <color indexed="64"/>
      </left>
      <right/>
      <top style="dashed">
        <color theme="0" tint="-0.14999847407452621"/>
      </top>
      <bottom style="medium">
        <color indexed="64"/>
      </bottom>
      <diagonal/>
    </border>
    <border>
      <left style="thin">
        <color indexed="64"/>
      </left>
      <right style="medium">
        <color indexed="64"/>
      </right>
      <top style="dashed">
        <color theme="0" tint="-0.14999847407452621"/>
      </top>
      <bottom style="medium">
        <color indexed="64"/>
      </bottom>
      <diagonal/>
    </border>
    <border>
      <left style="thin">
        <color indexed="64"/>
      </left>
      <right style="medium">
        <color indexed="64"/>
      </right>
      <top/>
      <bottom/>
      <diagonal/>
    </border>
  </borders>
  <cellStyleXfs count="1">
    <xf numFmtId="0" fontId="0" fillId="0" borderId="0"/>
  </cellStyleXfs>
  <cellXfs count="340">
    <xf numFmtId="0" fontId="0" fillId="0" borderId="0" xfId="0"/>
    <xf numFmtId="0" fontId="0" fillId="0" borderId="0" xfId="0" applyBorder="1"/>
    <xf numFmtId="0" fontId="13" fillId="3" borderId="30" xfId="0" applyFont="1" applyFill="1" applyBorder="1" applyAlignment="1">
      <alignment vertical="top" wrapText="1"/>
    </xf>
    <xf numFmtId="0" fontId="16" fillId="7" borderId="30" xfId="0" applyFont="1" applyFill="1" applyBorder="1"/>
    <xf numFmtId="0" fontId="15" fillId="5" borderId="30" xfId="0" applyFont="1" applyFill="1" applyBorder="1" applyAlignment="1">
      <alignment horizontal="right"/>
    </xf>
    <xf numFmtId="2" fontId="16" fillId="9" borderId="30" xfId="0" applyNumberFormat="1" applyFont="1" applyFill="1" applyBorder="1"/>
    <xf numFmtId="0" fontId="0" fillId="0" borderId="0" xfId="0" applyProtection="1"/>
    <xf numFmtId="0" fontId="15" fillId="5" borderId="30" xfId="0" applyFont="1" applyFill="1" applyBorder="1" applyAlignment="1" applyProtection="1">
      <alignment horizontal="right"/>
    </xf>
    <xf numFmtId="2" fontId="14" fillId="10" borderId="30" xfId="0" applyNumberFormat="1" applyFont="1" applyFill="1" applyBorder="1" applyAlignment="1" applyProtection="1">
      <alignment horizontal="left" vertical="top" wrapText="1"/>
    </xf>
    <xf numFmtId="0" fontId="16" fillId="11" borderId="30" xfId="0" applyFont="1" applyFill="1" applyBorder="1" applyProtection="1"/>
    <xf numFmtId="2" fontId="16" fillId="12" borderId="11" xfId="0" applyNumberFormat="1" applyFont="1" applyFill="1" applyBorder="1" applyProtection="1"/>
    <xf numFmtId="0" fontId="0" fillId="4" borderId="0" xfId="0" applyFill="1"/>
    <xf numFmtId="0" fontId="19" fillId="4" borderId="0" xfId="0" applyFont="1" applyFill="1" applyBorder="1" applyAlignment="1">
      <alignment wrapText="1"/>
    </xf>
    <xf numFmtId="0" fontId="16" fillId="4" borderId="0" xfId="0" applyFont="1" applyFill="1" applyBorder="1" applyAlignment="1">
      <alignment horizontal="right"/>
    </xf>
    <xf numFmtId="0" fontId="16" fillId="4" borderId="0" xfId="0" applyFont="1" applyFill="1" applyBorder="1"/>
    <xf numFmtId="0" fontId="16" fillId="4" borderId="0" xfId="0" quotePrefix="1" applyFont="1" applyFill="1" applyBorder="1" applyAlignment="1">
      <alignment horizontal="right"/>
    </xf>
    <xf numFmtId="0" fontId="0" fillId="4" borderId="0" xfId="0" applyFill="1" applyBorder="1"/>
    <xf numFmtId="0" fontId="16" fillId="4" borderId="20" xfId="0" applyFont="1" applyFill="1" applyBorder="1"/>
    <xf numFmtId="0" fontId="0" fillId="4" borderId="0" xfId="0" applyFill="1" applyBorder="1" applyAlignment="1">
      <alignment horizontal="justify"/>
    </xf>
    <xf numFmtId="0" fontId="13" fillId="4" borderId="0" xfId="0" applyFont="1" applyFill="1" applyBorder="1" applyAlignment="1">
      <alignment horizontal="left" vertical="top" wrapText="1"/>
    </xf>
    <xf numFmtId="0" fontId="15" fillId="4" borderId="0" xfId="0" applyFont="1" applyFill="1" applyBorder="1" applyAlignment="1">
      <alignment horizontal="left"/>
    </xf>
    <xf numFmtId="0" fontId="13" fillId="4" borderId="0" xfId="0" applyFont="1" applyFill="1" applyBorder="1"/>
    <xf numFmtId="0" fontId="15" fillId="4" borderId="0" xfId="0" applyFont="1" applyFill="1" applyBorder="1" applyAlignment="1">
      <alignment horizontal="right"/>
    </xf>
    <xf numFmtId="0" fontId="10" fillId="4" borderId="0" xfId="0" applyFont="1" applyFill="1" applyBorder="1" applyAlignment="1">
      <alignment horizontal="right"/>
    </xf>
    <xf numFmtId="0" fontId="0" fillId="4" borderId="0" xfId="0" applyFill="1" applyBorder="1" applyAlignment="1">
      <alignment horizontal="center"/>
    </xf>
    <xf numFmtId="0" fontId="0" fillId="4" borderId="0" xfId="0" applyFill="1" applyBorder="1" applyAlignment="1">
      <alignment horizontal="left"/>
    </xf>
    <xf numFmtId="0" fontId="0" fillId="4" borderId="0" xfId="0" applyNumberFormat="1" applyFill="1" applyBorder="1" applyAlignment="1">
      <alignment horizontal="center"/>
    </xf>
    <xf numFmtId="0" fontId="13" fillId="4" borderId="0" xfId="0" applyFont="1" applyFill="1" applyBorder="1" applyAlignment="1">
      <alignment horizontal="left" vertical="top"/>
    </xf>
    <xf numFmtId="0" fontId="3" fillId="4" borderId="0" xfId="0" applyFont="1" applyFill="1" applyBorder="1" applyAlignment="1">
      <alignment horizontal="center"/>
    </xf>
    <xf numFmtId="0" fontId="11" fillId="4" borderId="0" xfId="0" applyFont="1" applyFill="1" applyBorder="1" applyAlignment="1">
      <alignment horizontal="center"/>
    </xf>
    <xf numFmtId="0" fontId="16" fillId="4" borderId="0" xfId="0" applyFont="1" applyFill="1" applyBorder="1" applyAlignment="1"/>
    <xf numFmtId="0" fontId="18" fillId="4" borderId="0" xfId="0" applyFont="1" applyFill="1" applyBorder="1" applyAlignment="1">
      <alignment wrapText="1"/>
    </xf>
    <xf numFmtId="0" fontId="3" fillId="4" borderId="0" xfId="0" applyFont="1" applyFill="1" applyBorder="1" applyAlignment="1">
      <alignment vertical="top"/>
    </xf>
    <xf numFmtId="0" fontId="0" fillId="4" borderId="0" xfId="0" applyNumberFormat="1" applyFill="1" applyBorder="1"/>
    <xf numFmtId="0" fontId="0" fillId="0" borderId="0" xfId="0" applyAlignment="1">
      <alignment wrapText="1"/>
    </xf>
    <xf numFmtId="0" fontId="16" fillId="0" borderId="0" xfId="0" applyFont="1" applyFill="1" applyBorder="1" applyAlignment="1"/>
    <xf numFmtId="2" fontId="5" fillId="4" borderId="2" xfId="0" applyNumberFormat="1" applyFont="1" applyFill="1" applyBorder="1" applyAlignment="1" applyProtection="1">
      <protection locked="0"/>
    </xf>
    <xf numFmtId="0" fontId="16" fillId="0" borderId="0" xfId="0" applyFont="1" applyFill="1" applyBorder="1"/>
    <xf numFmtId="0" fontId="10" fillId="4" borderId="0" xfId="0" applyFont="1" applyFill="1" applyBorder="1" applyAlignment="1" applyProtection="1">
      <alignment vertical="top"/>
    </xf>
    <xf numFmtId="0" fontId="16" fillId="4" borderId="0" xfId="0" applyFont="1" applyFill="1" applyBorder="1" applyProtection="1"/>
    <xf numFmtId="0" fontId="0" fillId="0" borderId="0" xfId="0" applyFill="1"/>
    <xf numFmtId="0" fontId="0" fillId="4" borderId="0" xfId="0" applyNumberFormat="1" applyFill="1"/>
    <xf numFmtId="0" fontId="0" fillId="4" borderId="0" xfId="0" applyNumberFormat="1" applyFill="1" applyAlignment="1">
      <alignment horizontal="center"/>
    </xf>
    <xf numFmtId="2" fontId="0" fillId="4" borderId="0" xfId="0" applyNumberFormat="1" applyFill="1" applyAlignment="1">
      <alignment horizontal="center"/>
    </xf>
    <xf numFmtId="0" fontId="16" fillId="4" borderId="0" xfId="0" applyFont="1" applyFill="1" applyBorder="1" applyAlignment="1" applyProtection="1"/>
    <xf numFmtId="0" fontId="0" fillId="4" borderId="0" xfId="0" applyFill="1" applyProtection="1"/>
    <xf numFmtId="0" fontId="0" fillId="4" borderId="0" xfId="0" applyFill="1" applyAlignment="1">
      <alignment vertical="top"/>
    </xf>
    <xf numFmtId="0" fontId="3" fillId="4" borderId="0" xfId="0" applyFont="1" applyFill="1" applyAlignment="1">
      <alignment vertical="top"/>
    </xf>
    <xf numFmtId="0" fontId="3" fillId="4" borderId="0" xfId="0" applyFont="1" applyFill="1" applyAlignment="1">
      <alignment horizontal="center"/>
    </xf>
    <xf numFmtId="0" fontId="11" fillId="4" borderId="0" xfId="0" applyFont="1" applyFill="1" applyAlignment="1">
      <alignment horizontal="center"/>
    </xf>
    <xf numFmtId="0" fontId="0" fillId="4" borderId="0" xfId="0" applyFill="1" applyAlignment="1">
      <alignment horizontal="justify"/>
    </xf>
    <xf numFmtId="0" fontId="16" fillId="4" borderId="0" xfId="0" applyFont="1" applyFill="1"/>
    <xf numFmtId="0" fontId="2" fillId="4" borderId="0" xfId="0" applyFont="1" applyFill="1" applyAlignment="1"/>
    <xf numFmtId="0" fontId="2" fillId="4" borderId="0" xfId="0" applyFont="1" applyFill="1" applyAlignment="1">
      <alignment horizontal="right"/>
    </xf>
    <xf numFmtId="0" fontId="3" fillId="4" borderId="0" xfId="0" applyFont="1" applyFill="1" applyAlignment="1" applyProtection="1">
      <alignment horizontal="center" vertical="center"/>
    </xf>
    <xf numFmtId="0" fontId="7" fillId="4" borderId="0" xfId="0" applyFont="1" applyFill="1" applyBorder="1" applyAlignment="1"/>
    <xf numFmtId="0" fontId="0" fillId="4" borderId="0" xfId="0" applyFill="1" applyBorder="1" applyAlignment="1">
      <alignment vertical="center" wrapText="1"/>
    </xf>
    <xf numFmtId="0" fontId="9" fillId="4" borderId="0" xfId="0" applyFont="1" applyFill="1" applyBorder="1" applyAlignment="1">
      <alignment horizontal="center" vertical="center"/>
    </xf>
    <xf numFmtId="0" fontId="3" fillId="4" borderId="0" xfId="0" applyFont="1" applyFill="1" applyAlignment="1" applyProtection="1">
      <alignment horizontal="center"/>
    </xf>
    <xf numFmtId="0" fontId="11" fillId="4" borderId="0" xfId="0" applyFont="1" applyFill="1" applyAlignment="1" applyProtection="1">
      <alignment horizontal="center"/>
    </xf>
    <xf numFmtId="14" fontId="0" fillId="0" borderId="0" xfId="0" applyNumberFormat="1"/>
    <xf numFmtId="1" fontId="0" fillId="0" borderId="0" xfId="0" applyNumberFormat="1"/>
    <xf numFmtId="0" fontId="33" fillId="4" borderId="0" xfId="0" applyFont="1" applyFill="1"/>
    <xf numFmtId="0" fontId="0" fillId="4" borderId="0" xfId="0" applyFill="1" applyAlignment="1" applyProtection="1">
      <alignment vertical="top"/>
    </xf>
    <xf numFmtId="0" fontId="2" fillId="4" borderId="0" xfId="0" applyFont="1" applyFill="1" applyAlignment="1" applyProtection="1"/>
    <xf numFmtId="0" fontId="1" fillId="4" borderId="0" xfId="0" applyFont="1" applyFill="1" applyBorder="1" applyAlignment="1" applyProtection="1">
      <alignment horizontal="left"/>
    </xf>
    <xf numFmtId="0" fontId="7" fillId="4" borderId="0" xfId="0" applyFont="1" applyFill="1" applyBorder="1" applyAlignment="1" applyProtection="1"/>
    <xf numFmtId="0" fontId="15" fillId="13" borderId="30" xfId="0" applyFont="1" applyFill="1" applyBorder="1" applyAlignment="1">
      <alignment horizontal="right"/>
    </xf>
    <xf numFmtId="0" fontId="0" fillId="4" borderId="0" xfId="0" applyFill="1" applyAlignment="1">
      <alignment wrapText="1"/>
    </xf>
    <xf numFmtId="2" fontId="14" fillId="6" borderId="30" xfId="0" applyNumberFormat="1" applyFont="1" applyFill="1" applyBorder="1" applyAlignment="1" applyProtection="1">
      <alignment horizontal="left" vertical="top" wrapText="1"/>
    </xf>
    <xf numFmtId="0" fontId="34" fillId="4" borderId="0" xfId="0" applyFont="1" applyFill="1" applyAlignment="1" applyProtection="1">
      <alignment horizontal="right"/>
    </xf>
    <xf numFmtId="2" fontId="34" fillId="4" borderId="1" xfId="0" applyNumberFormat="1" applyFont="1" applyFill="1" applyBorder="1" applyAlignment="1" applyProtection="1">
      <alignment horizontal="center"/>
    </xf>
    <xf numFmtId="2" fontId="34" fillId="4" borderId="2" xfId="0" applyNumberFormat="1" applyFont="1" applyFill="1" applyBorder="1" applyAlignment="1" applyProtection="1">
      <alignment horizontal="center"/>
    </xf>
    <xf numFmtId="0" fontId="15" fillId="13" borderId="30" xfId="0" applyFont="1" applyFill="1" applyBorder="1" applyAlignment="1" applyProtection="1">
      <alignment horizontal="right"/>
    </xf>
    <xf numFmtId="0" fontId="16" fillId="7" borderId="30" xfId="0" applyFont="1" applyFill="1" applyBorder="1" applyProtection="1"/>
    <xf numFmtId="2" fontId="16" fillId="9" borderId="30" xfId="0" applyNumberFormat="1" applyFont="1" applyFill="1" applyBorder="1" applyProtection="1"/>
    <xf numFmtId="0" fontId="13" fillId="4" borderId="0" xfId="0" applyFont="1" applyFill="1" applyBorder="1" applyAlignment="1">
      <alignment horizontal="left"/>
    </xf>
    <xf numFmtId="0" fontId="0" fillId="4" borderId="0" xfId="0" applyNumberFormat="1" applyFill="1" applyBorder="1" applyAlignment="1">
      <alignment horizontal="left"/>
    </xf>
    <xf numFmtId="2" fontId="0" fillId="4" borderId="0" xfId="0" applyNumberFormat="1" applyFill="1" applyBorder="1" applyAlignment="1">
      <alignment horizontal="left"/>
    </xf>
    <xf numFmtId="0" fontId="32" fillId="0" borderId="0" xfId="0" applyFont="1" applyAlignment="1">
      <alignment vertical="center" wrapText="1"/>
    </xf>
    <xf numFmtId="164" fontId="16" fillId="4" borderId="31" xfId="0" applyNumberFormat="1" applyFont="1" applyFill="1" applyBorder="1" applyAlignment="1"/>
    <xf numFmtId="0" fontId="16" fillId="4" borderId="31" xfId="0" applyFont="1" applyFill="1" applyBorder="1" applyAlignment="1">
      <alignment horizontal="right"/>
    </xf>
    <xf numFmtId="0" fontId="23" fillId="4" borderId="31" xfId="0" applyFont="1" applyFill="1" applyBorder="1"/>
    <xf numFmtId="0" fontId="16" fillId="4" borderId="31" xfId="0" applyFont="1" applyFill="1" applyBorder="1"/>
    <xf numFmtId="0" fontId="16" fillId="4" borderId="27" xfId="0" applyFont="1" applyFill="1" applyBorder="1"/>
    <xf numFmtId="0" fontId="0" fillId="0" borderId="0" xfId="0" applyFill="1" applyAlignment="1">
      <alignment wrapText="1"/>
    </xf>
    <xf numFmtId="0" fontId="20" fillId="4" borderId="0" xfId="0" applyFont="1" applyFill="1" applyBorder="1" applyAlignment="1">
      <alignment wrapText="1"/>
    </xf>
    <xf numFmtId="0" fontId="44" fillId="4" borderId="0" xfId="0" applyFont="1" applyFill="1" applyBorder="1" applyAlignment="1">
      <alignment horizontal="center" vertical="top" wrapText="1"/>
    </xf>
    <xf numFmtId="165" fontId="15" fillId="4" borderId="8" xfId="0" applyNumberFormat="1" applyFont="1" applyFill="1" applyBorder="1" applyAlignment="1">
      <alignment horizontal="left" vertical="center" wrapText="1"/>
    </xf>
    <xf numFmtId="165" fontId="15" fillId="4" borderId="20" xfId="0" applyNumberFormat="1" applyFont="1" applyFill="1" applyBorder="1" applyAlignment="1">
      <alignment horizontal="left" vertical="center" wrapText="1"/>
    </xf>
    <xf numFmtId="0" fontId="0" fillId="0" borderId="0" xfId="0" applyFill="1" applyBorder="1"/>
    <xf numFmtId="0" fontId="24" fillId="0" borderId="0" xfId="0" applyFont="1" applyFill="1"/>
    <xf numFmtId="0" fontId="24" fillId="0" borderId="0" xfId="0" applyFont="1" applyFill="1" applyAlignment="1">
      <alignment horizontal="center"/>
    </xf>
    <xf numFmtId="14" fontId="0" fillId="0" borderId="0" xfId="0" applyNumberFormat="1" applyFill="1"/>
    <xf numFmtId="0" fontId="0" fillId="0" borderId="0" xfId="0" applyNumberFormat="1" applyFill="1" applyAlignment="1" applyProtection="1"/>
    <xf numFmtId="49" fontId="13" fillId="15" borderId="30" xfId="0" applyNumberFormat="1" applyFont="1" applyFill="1" applyBorder="1" applyAlignment="1">
      <alignment horizontal="left" vertical="top"/>
    </xf>
    <xf numFmtId="0" fontId="13" fillId="14" borderId="30" xfId="0" applyFont="1" applyFill="1" applyBorder="1" applyAlignment="1">
      <alignment vertical="top" wrapText="1"/>
    </xf>
    <xf numFmtId="1" fontId="46" fillId="4" borderId="0" xfId="0" applyNumberFormat="1" applyFont="1" applyFill="1" applyBorder="1" applyAlignment="1">
      <alignment vertical="center" wrapText="1"/>
    </xf>
    <xf numFmtId="0" fontId="20" fillId="4" borderId="0" xfId="0" applyFont="1" applyFill="1" applyAlignment="1" applyProtection="1">
      <alignment wrapText="1"/>
    </xf>
    <xf numFmtId="0" fontId="16" fillId="4" borderId="8" xfId="0" applyFont="1" applyFill="1" applyBorder="1" applyProtection="1"/>
    <xf numFmtId="0" fontId="16" fillId="11" borderId="0" xfId="0" applyFont="1" applyFill="1" applyBorder="1" applyAlignment="1" applyProtection="1">
      <alignment horizontal="right"/>
    </xf>
    <xf numFmtId="49" fontId="8" fillId="11" borderId="0" xfId="0" applyNumberFormat="1" applyFont="1" applyFill="1" applyBorder="1" applyAlignment="1" applyProtection="1">
      <alignment horizontal="center"/>
    </xf>
    <xf numFmtId="0" fontId="16" fillId="12" borderId="0" xfId="0" applyFont="1" applyFill="1" applyBorder="1" applyAlignment="1" applyProtection="1">
      <alignment horizontal="right"/>
    </xf>
    <xf numFmtId="49" fontId="8" fillId="12" borderId="0" xfId="0" applyNumberFormat="1" applyFont="1" applyFill="1" applyBorder="1" applyAlignment="1" applyProtection="1">
      <alignment horizontal="center"/>
    </xf>
    <xf numFmtId="0" fontId="16" fillId="4" borderId="15" xfId="0" applyFont="1" applyFill="1" applyBorder="1" applyAlignment="1" applyProtection="1">
      <alignment horizontal="left"/>
    </xf>
    <xf numFmtId="0" fontId="16" fillId="11" borderId="0" xfId="0" quotePrefix="1" applyFont="1" applyFill="1" applyBorder="1" applyAlignment="1" applyProtection="1">
      <alignment horizontal="right"/>
    </xf>
    <xf numFmtId="0" fontId="16" fillId="4" borderId="20" xfId="0" applyFont="1" applyFill="1" applyBorder="1" applyProtection="1"/>
    <xf numFmtId="0" fontId="16" fillId="4" borderId="31" xfId="0" applyFont="1" applyFill="1" applyBorder="1" applyAlignment="1" applyProtection="1">
      <alignment horizontal="left"/>
    </xf>
    <xf numFmtId="0" fontId="0" fillId="4" borderId="31" xfId="0" applyFill="1" applyBorder="1"/>
    <xf numFmtId="0" fontId="0" fillId="4" borderId="27" xfId="0" applyFill="1" applyBorder="1"/>
    <xf numFmtId="0" fontId="0" fillId="4" borderId="0" xfId="0" applyFill="1" applyBorder="1" applyAlignment="1"/>
    <xf numFmtId="0" fontId="16" fillId="4" borderId="0" xfId="0" applyFont="1" applyFill="1" applyBorder="1" applyAlignment="1">
      <alignment horizontal="left"/>
    </xf>
    <xf numFmtId="0" fontId="10" fillId="4" borderId="0" xfId="0" applyFont="1" applyFill="1" applyBorder="1" applyAlignment="1" applyProtection="1">
      <alignment horizontal="left" vertical="top"/>
    </xf>
    <xf numFmtId="164" fontId="16" fillId="4" borderId="31" xfId="0" applyNumberFormat="1" applyFont="1" applyFill="1" applyBorder="1" applyAlignment="1" applyProtection="1">
      <alignment horizontal="center"/>
    </xf>
    <xf numFmtId="2" fontId="8" fillId="4" borderId="0" xfId="0" applyNumberFormat="1" applyFont="1" applyFill="1" applyBorder="1" applyAlignment="1">
      <alignment horizontal="left"/>
    </xf>
    <xf numFmtId="0" fontId="16" fillId="4" borderId="8" xfId="0" applyFont="1" applyFill="1" applyBorder="1" applyAlignment="1">
      <alignment horizontal="right"/>
    </xf>
    <xf numFmtId="0" fontId="16" fillId="4" borderId="8" xfId="0" quotePrefix="1" applyFont="1" applyFill="1" applyBorder="1" applyAlignment="1">
      <alignment horizontal="right"/>
    </xf>
    <xf numFmtId="0" fontId="10" fillId="4" borderId="0" xfId="0" applyFont="1" applyFill="1" applyBorder="1" applyAlignment="1">
      <alignment vertical="top"/>
    </xf>
    <xf numFmtId="0" fontId="18" fillId="4" borderId="0" xfId="0" applyFont="1" applyFill="1" applyAlignment="1" applyProtection="1">
      <alignment wrapText="1"/>
    </xf>
    <xf numFmtId="0" fontId="0" fillId="0" borderId="0" xfId="0" applyAlignment="1">
      <alignment horizontal="center"/>
    </xf>
    <xf numFmtId="0" fontId="0" fillId="0" borderId="0" xfId="0" applyAlignment="1"/>
    <xf numFmtId="166" fontId="0" fillId="0" borderId="0" xfId="0" applyNumberFormat="1"/>
    <xf numFmtId="0" fontId="16" fillId="4" borderId="0" xfId="0" applyFont="1" applyFill="1" applyAlignment="1" applyProtection="1">
      <alignment horizontal="left"/>
    </xf>
    <xf numFmtId="0" fontId="16" fillId="16" borderId="30" xfId="0" applyFont="1" applyFill="1" applyBorder="1" applyProtection="1"/>
    <xf numFmtId="0" fontId="49" fillId="4" borderId="30" xfId="0" applyFont="1" applyFill="1" applyBorder="1" applyAlignment="1">
      <alignment horizontal="center"/>
    </xf>
    <xf numFmtId="2" fontId="14" fillId="4" borderId="30" xfId="0" applyNumberFormat="1" applyFont="1" applyFill="1" applyBorder="1" applyAlignment="1" applyProtection="1">
      <alignment horizontal="left" vertical="top" wrapText="1"/>
    </xf>
    <xf numFmtId="0" fontId="13" fillId="14" borderId="30" xfId="0" applyFont="1" applyFill="1" applyBorder="1" applyAlignment="1" applyProtection="1">
      <alignment vertical="top" wrapText="1"/>
    </xf>
    <xf numFmtId="49" fontId="13" fillId="15" borderId="30" xfId="0" applyNumberFormat="1" applyFont="1" applyFill="1" applyBorder="1" applyAlignment="1" applyProtection="1">
      <alignment horizontal="left" vertical="top"/>
    </xf>
    <xf numFmtId="0" fontId="0" fillId="4" borderId="0" xfId="0" applyFont="1" applyFill="1" applyProtection="1"/>
    <xf numFmtId="0" fontId="29" fillId="4" borderId="0" xfId="0" applyFont="1" applyFill="1" applyAlignment="1" applyProtection="1">
      <alignment horizontal="center" vertical="top"/>
    </xf>
    <xf numFmtId="0" fontId="26" fillId="4" borderId="0" xfId="0" applyFont="1" applyFill="1" applyAlignment="1" applyProtection="1">
      <alignment horizontal="left" vertical="top" wrapText="1"/>
    </xf>
    <xf numFmtId="0" fontId="0" fillId="4" borderId="0" xfId="0" applyFill="1" applyAlignment="1" applyProtection="1">
      <alignment horizontal="left"/>
    </xf>
    <xf numFmtId="0" fontId="29" fillId="4" borderId="0" xfId="0" applyFont="1" applyFill="1" applyAlignment="1" applyProtection="1">
      <alignment horizontal="center" vertical="top" wrapText="1"/>
    </xf>
    <xf numFmtId="0" fontId="26" fillId="4" borderId="0" xfId="0" applyFont="1" applyFill="1" applyAlignment="1" applyProtection="1">
      <alignment horizontal="left" wrapText="1"/>
    </xf>
    <xf numFmtId="0" fontId="0" fillId="4" borderId="0" xfId="0" applyFont="1" applyFill="1"/>
    <xf numFmtId="0" fontId="26" fillId="4" borderId="0" xfId="0" applyFont="1" applyFill="1" applyAlignment="1">
      <alignment vertical="center"/>
    </xf>
    <xf numFmtId="0" fontId="28" fillId="4" borderId="0" xfId="0" applyFont="1" applyFill="1" applyAlignment="1" applyProtection="1">
      <alignment vertical="center"/>
    </xf>
    <xf numFmtId="0" fontId="0" fillId="4" borderId="0" xfId="0" applyFont="1" applyFill="1" applyBorder="1" applyAlignment="1" applyProtection="1">
      <alignment horizontal="right" indent="1"/>
    </xf>
    <xf numFmtId="0" fontId="0" fillId="4" borderId="0" xfId="0" applyFill="1" applyAlignment="1" applyProtection="1">
      <alignment horizontal="left" wrapText="1"/>
    </xf>
    <xf numFmtId="0" fontId="16" fillId="4" borderId="0" xfId="0" applyFont="1" applyFill="1" applyBorder="1" applyAlignment="1" applyProtection="1">
      <alignment horizontal="left"/>
    </xf>
    <xf numFmtId="0" fontId="13" fillId="4" borderId="0" xfId="0" applyFont="1" applyFill="1" applyBorder="1" applyAlignment="1" applyProtection="1">
      <alignment horizontal="left" vertical="top" wrapText="1"/>
    </xf>
    <xf numFmtId="0" fontId="16" fillId="4" borderId="28" xfId="0" applyFont="1" applyFill="1" applyBorder="1" applyAlignment="1" applyProtection="1"/>
    <xf numFmtId="0" fontId="44" fillId="4" borderId="0" xfId="0" applyFont="1" applyFill="1" applyBorder="1" applyAlignment="1">
      <alignment horizontal="center" vertical="top" wrapText="1"/>
    </xf>
    <xf numFmtId="0" fontId="16" fillId="4" borderId="0" xfId="0" applyFont="1" applyFill="1" applyBorder="1" applyAlignment="1">
      <alignment horizontal="left"/>
    </xf>
    <xf numFmtId="0" fontId="16" fillId="4" borderId="0" xfId="0" applyFont="1" applyFill="1" applyAlignment="1" applyProtection="1">
      <alignment horizontal="left"/>
    </xf>
    <xf numFmtId="0" fontId="4" fillId="4" borderId="0" xfId="0" applyFont="1" applyFill="1" applyBorder="1" applyAlignment="1">
      <alignment wrapText="1"/>
    </xf>
    <xf numFmtId="0" fontId="49" fillId="0" borderId="30" xfId="0" applyFont="1" applyFill="1" applyBorder="1" applyAlignment="1" applyProtection="1">
      <alignment horizontal="center"/>
    </xf>
    <xf numFmtId="2" fontId="14" fillId="4" borderId="3" xfId="0" applyNumberFormat="1" applyFont="1" applyFill="1" applyBorder="1" applyAlignment="1" applyProtection="1">
      <alignment horizontal="center" vertical="center" shrinkToFit="1"/>
    </xf>
    <xf numFmtId="2" fontId="14" fillId="4" borderId="33" xfId="0" applyNumberFormat="1" applyFont="1" applyFill="1" applyBorder="1" applyAlignment="1" applyProtection="1">
      <alignment horizontal="center" vertical="center" shrinkToFit="1"/>
    </xf>
    <xf numFmtId="2" fontId="14" fillId="4" borderId="7" xfId="0" applyNumberFormat="1" applyFont="1" applyFill="1" applyBorder="1" applyAlignment="1" applyProtection="1">
      <alignment horizontal="center" vertical="center" shrinkToFit="1"/>
    </xf>
    <xf numFmtId="0" fontId="13" fillId="4" borderId="0" xfId="0" applyFont="1" applyFill="1" applyBorder="1" applyAlignment="1" applyProtection="1">
      <alignment horizontal="left" vertical="top"/>
    </xf>
    <xf numFmtId="0" fontId="0" fillId="4" borderId="0" xfId="0" applyFill="1" applyBorder="1" applyAlignment="1" applyProtection="1">
      <alignment horizontal="left"/>
    </xf>
    <xf numFmtId="165" fontId="15" fillId="4" borderId="8" xfId="0" applyNumberFormat="1" applyFont="1" applyFill="1" applyBorder="1" applyAlignment="1" applyProtection="1">
      <alignment horizontal="left" vertical="center" wrapText="1"/>
    </xf>
    <xf numFmtId="0" fontId="13" fillId="4" borderId="0" xfId="0" applyFont="1" applyFill="1" applyBorder="1" applyAlignment="1" applyProtection="1">
      <alignment horizontal="left"/>
    </xf>
    <xf numFmtId="2" fontId="14" fillId="4" borderId="17" xfId="0" applyNumberFormat="1" applyFont="1" applyFill="1" applyBorder="1" applyAlignment="1" applyProtection="1">
      <alignment horizontal="center" vertical="center" shrinkToFit="1"/>
    </xf>
    <xf numFmtId="2" fontId="14" fillId="4" borderId="18" xfId="0" applyNumberFormat="1" applyFont="1" applyFill="1" applyBorder="1" applyAlignment="1" applyProtection="1">
      <alignment horizontal="center" vertical="center" shrinkToFit="1"/>
    </xf>
    <xf numFmtId="2" fontId="14" fillId="4" borderId="19" xfId="0" applyNumberFormat="1" applyFont="1" applyFill="1" applyBorder="1" applyAlignment="1" applyProtection="1">
      <alignment horizontal="center" vertical="center" shrinkToFit="1"/>
    </xf>
    <xf numFmtId="0" fontId="0" fillId="4" borderId="0" xfId="0" applyNumberFormat="1" applyFill="1" applyBorder="1" applyAlignment="1" applyProtection="1">
      <alignment horizontal="left"/>
    </xf>
    <xf numFmtId="165" fontId="15" fillId="4" borderId="20" xfId="0" applyNumberFormat="1" applyFont="1" applyFill="1" applyBorder="1" applyAlignment="1" applyProtection="1">
      <alignment horizontal="left" vertical="center" wrapText="1"/>
    </xf>
    <xf numFmtId="165" fontId="15" fillId="4" borderId="32" xfId="0" applyNumberFormat="1" applyFont="1" applyFill="1" applyBorder="1" applyAlignment="1" applyProtection="1">
      <alignment horizontal="left" vertical="center" wrapText="1"/>
    </xf>
    <xf numFmtId="165" fontId="15" fillId="4" borderId="21" xfId="0" applyNumberFormat="1" applyFont="1" applyFill="1" applyBorder="1" applyAlignment="1" applyProtection="1">
      <alignment horizontal="left" vertical="center" wrapText="1"/>
    </xf>
    <xf numFmtId="2" fontId="0" fillId="4" borderId="0" xfId="0" applyNumberFormat="1" applyFill="1" applyBorder="1" applyAlignment="1" applyProtection="1">
      <alignment horizontal="left"/>
    </xf>
    <xf numFmtId="0" fontId="0" fillId="4" borderId="0" xfId="0" applyFill="1" applyBorder="1" applyAlignment="1" applyProtection="1">
      <alignment horizontal="center"/>
    </xf>
    <xf numFmtId="2" fontId="43" fillId="4" borderId="0" xfId="0" applyNumberFormat="1" applyFont="1" applyFill="1" applyBorder="1" applyAlignment="1" applyProtection="1">
      <alignment vertical="center"/>
    </xf>
    <xf numFmtId="2" fontId="14" fillId="4" borderId="37" xfId="0" applyNumberFormat="1" applyFont="1" applyFill="1" applyBorder="1" applyAlignment="1" applyProtection="1">
      <alignment horizontal="center" vertical="center" wrapText="1"/>
      <protection locked="0"/>
    </xf>
    <xf numFmtId="2" fontId="14" fillId="4" borderId="38" xfId="0" applyNumberFormat="1" applyFont="1" applyFill="1" applyBorder="1" applyAlignment="1" applyProtection="1">
      <alignment horizontal="center" vertical="center" wrapText="1"/>
      <protection locked="0"/>
    </xf>
    <xf numFmtId="2" fontId="14" fillId="4" borderId="39" xfId="0" applyNumberFormat="1" applyFont="1" applyFill="1" applyBorder="1" applyAlignment="1" applyProtection="1">
      <alignment horizontal="center" vertical="center" wrapText="1"/>
      <protection locked="0"/>
    </xf>
    <xf numFmtId="2" fontId="14" fillId="4" borderId="40" xfId="0" applyNumberFormat="1" applyFont="1" applyFill="1" applyBorder="1" applyAlignment="1" applyProtection="1">
      <alignment horizontal="center" vertical="center" wrapText="1"/>
      <protection locked="0"/>
    </xf>
    <xf numFmtId="2" fontId="14" fillId="4" borderId="41" xfId="0" applyNumberFormat="1" applyFont="1" applyFill="1" applyBorder="1" applyAlignment="1" applyProtection="1">
      <alignment horizontal="center" vertical="center" wrapText="1"/>
      <protection locked="0"/>
    </xf>
    <xf numFmtId="2" fontId="14" fillId="4" borderId="42" xfId="0" applyNumberFormat="1" applyFont="1" applyFill="1" applyBorder="1" applyAlignment="1" applyProtection="1">
      <alignment horizontal="center" vertical="center" wrapText="1"/>
      <protection locked="0"/>
    </xf>
    <xf numFmtId="0" fontId="44" fillId="4" borderId="0" xfId="0" applyFont="1" applyFill="1" applyBorder="1" applyAlignment="1">
      <alignment horizontal="center" vertical="top" wrapText="1"/>
    </xf>
    <xf numFmtId="0" fontId="3" fillId="4" borderId="0" xfId="0" applyFont="1" applyFill="1" applyBorder="1" applyAlignment="1">
      <alignment horizontal="center"/>
    </xf>
    <xf numFmtId="0" fontId="16" fillId="4" borderId="0" xfId="0" applyFont="1" applyFill="1" applyBorder="1" applyAlignment="1">
      <alignment horizontal="left"/>
    </xf>
    <xf numFmtId="165" fontId="15" fillId="4" borderId="43" xfId="0" applyNumberFormat="1" applyFont="1" applyFill="1" applyBorder="1" applyAlignment="1">
      <alignment horizontal="left" vertical="center" wrapText="1"/>
    </xf>
    <xf numFmtId="165" fontId="15" fillId="4" borderId="44" xfId="0" applyNumberFormat="1" applyFont="1" applyFill="1" applyBorder="1" applyAlignment="1">
      <alignment horizontal="left" vertical="center" wrapText="1"/>
    </xf>
    <xf numFmtId="165" fontId="15" fillId="4" borderId="45" xfId="0" applyNumberFormat="1" applyFont="1" applyFill="1" applyBorder="1" applyAlignment="1">
      <alignment horizontal="left" vertical="center" wrapText="1"/>
    </xf>
    <xf numFmtId="165" fontId="15" fillId="4" borderId="46" xfId="0" applyNumberFormat="1" applyFont="1" applyFill="1" applyBorder="1" applyAlignment="1">
      <alignment horizontal="left" vertical="center" wrapText="1"/>
    </xf>
    <xf numFmtId="165" fontId="15" fillId="4" borderId="28" xfId="0" applyNumberFormat="1" applyFont="1" applyFill="1" applyBorder="1" applyAlignment="1" applyProtection="1">
      <alignment horizontal="left" vertical="center" wrapText="1"/>
    </xf>
    <xf numFmtId="165" fontId="15" fillId="4" borderId="47" xfId="0" applyNumberFormat="1" applyFont="1" applyFill="1" applyBorder="1" applyAlignment="1" applyProtection="1">
      <alignment horizontal="left" vertical="center" wrapText="1"/>
    </xf>
    <xf numFmtId="0" fontId="0" fillId="0" borderId="0" xfId="0" applyFill="1" applyAlignment="1"/>
    <xf numFmtId="0" fontId="26" fillId="0" borderId="0" xfId="0" applyFont="1" applyAlignment="1">
      <alignment vertical="top"/>
    </xf>
    <xf numFmtId="0" fontId="0" fillId="0" borderId="0" xfId="0" applyAlignment="1">
      <alignment horizontal="right"/>
    </xf>
    <xf numFmtId="0" fontId="25" fillId="0" borderId="0" xfId="0" applyFont="1" applyAlignment="1">
      <alignment vertical="top"/>
    </xf>
    <xf numFmtId="0" fontId="0" fillId="0" borderId="0" xfId="0" applyAlignment="1">
      <alignment vertical="top"/>
    </xf>
    <xf numFmtId="0" fontId="0" fillId="0" borderId="0" xfId="0" applyFont="1" applyAlignment="1">
      <alignment horizontal="right"/>
    </xf>
    <xf numFmtId="0" fontId="0" fillId="0" borderId="0" xfId="0" applyFont="1"/>
    <xf numFmtId="167" fontId="0" fillId="0" borderId="0" xfId="0" applyNumberFormat="1"/>
    <xf numFmtId="0" fontId="52" fillId="0" borderId="0" xfId="0" applyNumberFormat="1" applyFont="1" applyFill="1" applyAlignment="1" applyProtection="1">
      <alignment wrapText="1"/>
    </xf>
    <xf numFmtId="0" fontId="52" fillId="0" borderId="0" xfId="0" applyNumberFormat="1" applyFont="1" applyFill="1" applyAlignment="1" applyProtection="1"/>
    <xf numFmtId="0" fontId="0" fillId="0" borderId="0" xfId="0" applyNumberFormat="1"/>
    <xf numFmtId="0" fontId="0" fillId="0" borderId="0" xfId="0" applyNumberFormat="1" applyFont="1"/>
    <xf numFmtId="0" fontId="0" fillId="0" borderId="0" xfId="0" applyFill="1" applyBorder="1" applyAlignment="1">
      <alignment horizontal="left"/>
    </xf>
    <xf numFmtId="2" fontId="14" fillId="0" borderId="0" xfId="0" applyNumberFormat="1" applyFont="1" applyFill="1" applyBorder="1" applyAlignment="1" applyProtection="1">
      <alignment horizontal="center" vertical="center" wrapText="1"/>
      <protection locked="0"/>
    </xf>
    <xf numFmtId="0" fontId="0" fillId="0" borderId="0" xfId="0" applyNumberFormat="1" applyFill="1" applyBorder="1" applyAlignment="1">
      <alignment horizontal="left"/>
    </xf>
    <xf numFmtId="165" fontId="15" fillId="0" borderId="0" xfId="0" applyNumberFormat="1" applyFont="1" applyFill="1" applyBorder="1" applyAlignment="1">
      <alignment horizontal="left" vertical="center" wrapText="1"/>
    </xf>
    <xf numFmtId="0" fontId="18" fillId="0" borderId="0" xfId="0" applyFont="1" applyFill="1" applyBorder="1" applyAlignment="1">
      <alignment wrapText="1"/>
    </xf>
    <xf numFmtId="2" fontId="0" fillId="0" borderId="0" xfId="0" applyNumberFormat="1" applyFill="1" applyBorder="1" applyAlignment="1">
      <alignment horizontal="left"/>
    </xf>
    <xf numFmtId="2" fontId="14" fillId="0" borderId="0" xfId="0" applyNumberFormat="1" applyFont="1" applyFill="1" applyBorder="1" applyAlignment="1" applyProtection="1">
      <alignment horizontal="center" vertical="center" shrinkToFit="1"/>
    </xf>
    <xf numFmtId="0" fontId="0" fillId="0" borderId="0" xfId="0" applyNumberFormat="1" applyFill="1" applyBorder="1" applyAlignment="1">
      <alignment horizontal="center"/>
    </xf>
    <xf numFmtId="165" fontId="15" fillId="0" borderId="0" xfId="0" applyNumberFormat="1" applyFont="1" applyFill="1" applyBorder="1" applyAlignment="1" applyProtection="1">
      <alignment horizontal="left" vertical="center" wrapText="1"/>
    </xf>
    <xf numFmtId="0" fontId="35" fillId="0" borderId="0" xfId="0" applyFont="1" applyFill="1" applyBorder="1"/>
    <xf numFmtId="0" fontId="53" fillId="0" borderId="0" xfId="0" applyFont="1"/>
    <xf numFmtId="0" fontId="16" fillId="18" borderId="30" xfId="0" applyFont="1" applyFill="1" applyBorder="1" applyProtection="1"/>
    <xf numFmtId="2" fontId="16" fillId="17" borderId="11" xfId="0" applyNumberFormat="1" applyFont="1" applyFill="1" applyBorder="1" applyProtection="1"/>
    <xf numFmtId="0" fontId="26" fillId="4" borderId="0" xfId="0" applyFont="1" applyFill="1" applyAlignment="1" applyProtection="1">
      <alignment horizontal="left" vertical="top" wrapText="1"/>
    </xf>
    <xf numFmtId="0" fontId="16" fillId="4" borderId="0" xfId="0" applyFont="1" applyFill="1" applyBorder="1" applyAlignment="1" applyProtection="1">
      <alignment horizontal="left"/>
    </xf>
    <xf numFmtId="0" fontId="49" fillId="0" borderId="0" xfId="0" applyFont="1" applyFill="1" applyBorder="1" applyAlignment="1" applyProtection="1">
      <alignment horizontal="center"/>
    </xf>
    <xf numFmtId="2" fontId="16" fillId="19" borderId="30" xfId="0" applyNumberFormat="1" applyFont="1" applyFill="1" applyBorder="1" applyProtection="1"/>
    <xf numFmtId="0" fontId="26" fillId="4" borderId="0" xfId="0" applyFont="1" applyFill="1" applyAlignment="1" applyProtection="1">
      <alignment horizontal="right" vertical="center" wrapText="1"/>
    </xf>
    <xf numFmtId="0" fontId="29" fillId="4" borderId="0" xfId="0" applyFont="1" applyFill="1" applyAlignment="1" applyProtection="1">
      <alignment horizontal="center" vertical="center" wrapText="1"/>
    </xf>
    <xf numFmtId="0" fontId="0" fillId="5" borderId="0" xfId="0" applyNumberFormat="1" applyFill="1" applyAlignment="1">
      <alignment horizontal="center"/>
    </xf>
    <xf numFmtId="0" fontId="0" fillId="5" borderId="0" xfId="0" applyFill="1" applyAlignment="1">
      <alignment horizontal="center"/>
    </xf>
    <xf numFmtId="0" fontId="0" fillId="5" borderId="0" xfId="0" applyFill="1" applyAlignment="1"/>
    <xf numFmtId="0" fontId="26" fillId="0" borderId="0" xfId="0" applyFont="1" applyAlignment="1">
      <alignment horizontal="left" vertical="top"/>
    </xf>
    <xf numFmtId="49" fontId="0" fillId="0" borderId="0" xfId="0" applyNumberFormat="1" applyFill="1" applyAlignment="1" applyProtection="1"/>
    <xf numFmtId="0" fontId="26" fillId="4" borderId="0" xfId="0" applyFont="1" applyFill="1" applyAlignment="1" applyProtection="1">
      <alignment horizontal="left" vertical="top" wrapText="1"/>
    </xf>
    <xf numFmtId="0" fontId="25" fillId="4" borderId="0" xfId="0" applyFont="1" applyFill="1" applyBorder="1" applyAlignment="1" applyProtection="1">
      <alignment horizontal="center" vertical="center"/>
    </xf>
    <xf numFmtId="0" fontId="16" fillId="4" borderId="28" xfId="0" applyFont="1" applyFill="1" applyBorder="1" applyAlignment="1" applyProtection="1">
      <alignment horizontal="left"/>
    </xf>
    <xf numFmtId="0" fontId="16" fillId="4" borderId="0" xfId="0" applyFont="1" applyFill="1" applyBorder="1" applyAlignment="1" applyProtection="1">
      <alignment horizontal="left"/>
    </xf>
    <xf numFmtId="0" fontId="28" fillId="4" borderId="0" xfId="0" applyFont="1" applyFill="1" applyAlignment="1" applyProtection="1">
      <alignment horizontal="center"/>
    </xf>
    <xf numFmtId="0" fontId="51" fillId="0" borderId="0" xfId="0" applyFont="1" applyAlignment="1">
      <alignment horizontal="center" vertical="center" wrapText="1"/>
    </xf>
    <xf numFmtId="0" fontId="50" fillId="4" borderId="0" xfId="0" applyFont="1" applyFill="1" applyBorder="1" applyAlignment="1">
      <alignment horizontal="left" wrapText="1" shrinkToFit="1"/>
    </xf>
    <xf numFmtId="2" fontId="8" fillId="4" borderId="0" xfId="0" applyNumberFormat="1" applyFont="1" applyFill="1" applyBorder="1" applyAlignment="1">
      <alignment horizontal="center"/>
    </xf>
    <xf numFmtId="2" fontId="8" fillId="4" borderId="15" xfId="0" applyNumberFormat="1" applyFont="1" applyFill="1" applyBorder="1" applyAlignment="1">
      <alignment horizontal="center"/>
    </xf>
    <xf numFmtId="0" fontId="0" fillId="4" borderId="0" xfId="0" applyFill="1" applyAlignment="1" applyProtection="1">
      <alignment horizontal="center"/>
      <protection locked="0"/>
    </xf>
    <xf numFmtId="0" fontId="0" fillId="4" borderId="1" xfId="0" applyFill="1" applyBorder="1" applyAlignment="1" applyProtection="1">
      <alignment horizontal="center"/>
      <protection locked="0"/>
    </xf>
    <xf numFmtId="0" fontId="16" fillId="4" borderId="1" xfId="0" applyFont="1" applyFill="1" applyBorder="1" applyAlignment="1" applyProtection="1">
      <alignment horizontal="center"/>
      <protection locked="0"/>
    </xf>
    <xf numFmtId="0" fontId="22" fillId="4" borderId="8" xfId="0" applyFont="1" applyFill="1" applyBorder="1" applyAlignment="1">
      <alignment horizontal="center" vertical="center" wrapText="1"/>
    </xf>
    <xf numFmtId="0" fontId="22" fillId="4" borderId="0" xfId="0" applyFont="1" applyFill="1" applyBorder="1" applyAlignment="1">
      <alignment horizontal="center" vertical="center" wrapText="1"/>
    </xf>
    <xf numFmtId="0" fontId="22" fillId="4" borderId="15" xfId="0" applyFont="1" applyFill="1" applyBorder="1" applyAlignment="1">
      <alignment horizontal="center" vertical="center" wrapText="1"/>
    </xf>
    <xf numFmtId="0" fontId="26" fillId="4" borderId="34" xfId="0" applyFont="1" applyFill="1" applyBorder="1" applyAlignment="1">
      <alignment horizontal="center" vertical="center" wrapText="1"/>
    </xf>
    <xf numFmtId="0" fontId="0" fillId="4" borderId="35" xfId="0" applyFill="1" applyBorder="1" applyAlignment="1">
      <alignment horizontal="center" vertical="center" wrapText="1"/>
    </xf>
    <xf numFmtId="0" fontId="0" fillId="4" borderId="36" xfId="0" applyFill="1" applyBorder="1" applyAlignment="1">
      <alignment horizontal="center" vertical="center" wrapText="1"/>
    </xf>
    <xf numFmtId="164" fontId="16" fillId="4" borderId="1" xfId="0" applyNumberFormat="1" applyFont="1" applyFill="1" applyBorder="1" applyAlignment="1" applyProtection="1">
      <alignment horizontal="center"/>
      <protection locked="0"/>
    </xf>
    <xf numFmtId="164" fontId="16" fillId="4" borderId="2" xfId="0" applyNumberFormat="1" applyFont="1" applyFill="1" applyBorder="1" applyAlignment="1" applyProtection="1">
      <alignment horizontal="center"/>
      <protection locked="0"/>
    </xf>
    <xf numFmtId="0" fontId="44" fillId="4" borderId="0" xfId="0" applyFont="1" applyFill="1" applyBorder="1" applyAlignment="1">
      <alignment horizontal="center" vertical="top" wrapText="1"/>
    </xf>
    <xf numFmtId="0" fontId="18" fillId="4" borderId="0" xfId="0" applyFont="1" applyFill="1" applyBorder="1" applyAlignment="1">
      <alignment horizontal="center" vertical="top" wrapText="1"/>
    </xf>
    <xf numFmtId="0" fontId="3" fillId="4" borderId="0" xfId="0" applyFont="1" applyFill="1" applyBorder="1" applyAlignment="1">
      <alignment horizontal="center"/>
    </xf>
    <xf numFmtId="0" fontId="9" fillId="4" borderId="0" xfId="0" applyFont="1" applyFill="1" applyAlignment="1">
      <alignment horizontal="left"/>
    </xf>
    <xf numFmtId="0" fontId="12" fillId="2" borderId="24" xfId="0" applyFont="1" applyFill="1" applyBorder="1" applyAlignment="1">
      <alignment horizontal="center" vertical="center" textRotation="255"/>
    </xf>
    <xf numFmtId="0" fontId="12" fillId="2" borderId="25" xfId="0" applyFont="1" applyFill="1" applyBorder="1" applyAlignment="1">
      <alignment horizontal="center" vertical="center" textRotation="255"/>
    </xf>
    <xf numFmtId="0" fontId="12" fillId="0" borderId="0" xfId="0" applyFont="1" applyFill="1" applyBorder="1" applyAlignment="1">
      <alignment horizontal="center" vertical="center" textRotation="255"/>
    </xf>
    <xf numFmtId="0" fontId="36" fillId="4" borderId="0" xfId="0" applyFont="1" applyFill="1" applyBorder="1" applyAlignment="1">
      <alignment horizontal="center" vertical="top" wrapText="1"/>
    </xf>
    <xf numFmtId="0" fontId="18" fillId="4" borderId="0" xfId="0" applyFont="1" applyFill="1" applyBorder="1" applyAlignment="1">
      <alignment horizontal="right" vertical="center" wrapText="1"/>
    </xf>
    <xf numFmtId="0" fontId="18" fillId="4" borderId="14" xfId="0" applyFont="1" applyFill="1" applyBorder="1" applyAlignment="1">
      <alignment horizontal="right" vertical="center" wrapText="1"/>
    </xf>
    <xf numFmtId="2" fontId="3" fillId="8" borderId="18" xfId="0" applyNumberFormat="1" applyFont="1" applyFill="1" applyBorder="1" applyAlignment="1">
      <alignment horizontal="center" vertical="center"/>
    </xf>
    <xf numFmtId="2" fontId="3" fillId="8" borderId="16" xfId="0" applyNumberFormat="1" applyFont="1" applyFill="1" applyBorder="1" applyAlignment="1">
      <alignment horizontal="center" vertical="center"/>
    </xf>
    <xf numFmtId="2" fontId="3" fillId="8" borderId="26" xfId="0" applyNumberFormat="1" applyFont="1" applyFill="1" applyBorder="1" applyAlignment="1">
      <alignment horizontal="center" vertical="center"/>
    </xf>
    <xf numFmtId="2" fontId="3" fillId="8" borderId="10" xfId="0" applyNumberFormat="1" applyFont="1" applyFill="1" applyBorder="1" applyAlignment="1">
      <alignment horizontal="center" vertical="center"/>
    </xf>
    <xf numFmtId="0" fontId="45" fillId="4" borderId="28" xfId="0" applyFont="1" applyFill="1" applyBorder="1" applyAlignment="1">
      <alignment horizontal="left" vertical="center"/>
    </xf>
    <xf numFmtId="2" fontId="27" fillId="4" borderId="1" xfId="0" applyNumberFormat="1" applyFont="1" applyFill="1" applyBorder="1" applyAlignment="1">
      <alignment horizontal="center"/>
    </xf>
    <xf numFmtId="0" fontId="34" fillId="4" borderId="1" xfId="0" applyFont="1" applyFill="1" applyBorder="1" applyAlignment="1" applyProtection="1">
      <alignment horizontal="center"/>
      <protection locked="0"/>
    </xf>
    <xf numFmtId="0" fontId="12" fillId="2" borderId="29" xfId="0" applyFont="1" applyFill="1" applyBorder="1" applyAlignment="1">
      <alignment horizontal="center" vertical="center" textRotation="255"/>
    </xf>
    <xf numFmtId="0" fontId="34" fillId="4" borderId="0" xfId="0" applyFont="1" applyFill="1" applyAlignment="1">
      <alignment horizontal="center"/>
    </xf>
    <xf numFmtId="0" fontId="10" fillId="4" borderId="0" xfId="0" applyFont="1" applyFill="1" applyBorder="1" applyAlignment="1">
      <alignment horizontal="right" wrapText="1"/>
    </xf>
    <xf numFmtId="0" fontId="12" fillId="2" borderId="6" xfId="0" applyFont="1" applyFill="1" applyBorder="1" applyAlignment="1">
      <alignment horizontal="center" vertical="center" textRotation="255"/>
    </xf>
    <xf numFmtId="0" fontId="12" fillId="2" borderId="9" xfId="0" applyFont="1" applyFill="1" applyBorder="1" applyAlignment="1">
      <alignment horizontal="center" vertical="center" textRotation="255"/>
    </xf>
    <xf numFmtId="0" fontId="12" fillId="2" borderId="22" xfId="0" applyFont="1" applyFill="1" applyBorder="1" applyAlignment="1">
      <alignment horizontal="center" vertical="center" textRotation="255"/>
    </xf>
    <xf numFmtId="0" fontId="12" fillId="2" borderId="6" xfId="0" applyFont="1" applyFill="1" applyBorder="1" applyAlignment="1">
      <alignment vertical="center" textRotation="255"/>
    </xf>
    <xf numFmtId="0" fontId="12" fillId="2" borderId="9" xfId="0" applyFont="1" applyFill="1" applyBorder="1" applyAlignment="1">
      <alignment vertical="center" textRotation="255"/>
    </xf>
    <xf numFmtId="0" fontId="12" fillId="2" borderId="22" xfId="0" applyFont="1" applyFill="1" applyBorder="1" applyAlignment="1">
      <alignment vertical="center" textRotation="255"/>
    </xf>
    <xf numFmtId="0" fontId="12" fillId="2" borderId="3" xfId="0" applyFont="1" applyFill="1" applyBorder="1" applyAlignment="1">
      <alignment horizontal="center" vertical="center" textRotation="255"/>
    </xf>
    <xf numFmtId="0" fontId="12" fillId="2" borderId="8" xfId="0" applyFont="1" applyFill="1" applyBorder="1" applyAlignment="1">
      <alignment horizontal="center" vertical="center" textRotation="255"/>
    </xf>
    <xf numFmtId="0" fontId="12" fillId="2" borderId="20" xfId="0" applyFont="1" applyFill="1" applyBorder="1" applyAlignment="1">
      <alignment horizontal="center" vertical="center" textRotation="255"/>
    </xf>
    <xf numFmtId="0" fontId="17" fillId="4" borderId="0" xfId="0" applyFont="1" applyFill="1" applyBorder="1" applyAlignment="1">
      <alignment horizontal="left"/>
    </xf>
    <xf numFmtId="0" fontId="16" fillId="4" borderId="28" xfId="0" applyFont="1" applyFill="1" applyBorder="1" applyAlignment="1">
      <alignment horizontal="left"/>
    </xf>
    <xf numFmtId="0" fontId="16" fillId="4" borderId="0" xfId="0" applyFont="1" applyFill="1" applyBorder="1" applyAlignment="1">
      <alignment horizontal="left"/>
    </xf>
    <xf numFmtId="0" fontId="21" fillId="4" borderId="3" xfId="0" applyFont="1" applyFill="1" applyBorder="1" applyAlignment="1">
      <alignment horizontal="center"/>
    </xf>
    <xf numFmtId="0" fontId="21" fillId="4" borderId="4" xfId="0" applyFont="1" applyFill="1" applyBorder="1" applyAlignment="1">
      <alignment horizontal="center"/>
    </xf>
    <xf numFmtId="0" fontId="21" fillId="4" borderId="5" xfId="0" applyFont="1" applyFill="1" applyBorder="1" applyAlignment="1">
      <alignment horizontal="center"/>
    </xf>
    <xf numFmtId="0" fontId="6" fillId="4" borderId="0" xfId="0" applyFont="1" applyFill="1" applyBorder="1" applyAlignment="1">
      <alignment horizontal="center" vertical="top" wrapText="1"/>
    </xf>
    <xf numFmtId="2" fontId="42" fillId="4" borderId="0" xfId="0" applyNumberFormat="1" applyFont="1" applyFill="1" applyBorder="1" applyAlignment="1">
      <alignment horizontal="center" vertical="center"/>
    </xf>
    <xf numFmtId="0" fontId="40" fillId="4" borderId="0" xfId="0" applyFont="1" applyFill="1" applyBorder="1" applyAlignment="1">
      <alignment horizontal="center"/>
    </xf>
    <xf numFmtId="2" fontId="43" fillId="4" borderId="0" xfId="0" applyNumberFormat="1" applyFont="1" applyFill="1" applyBorder="1" applyAlignment="1" applyProtection="1">
      <alignment horizontal="center" vertical="center"/>
      <protection locked="0"/>
    </xf>
    <xf numFmtId="2" fontId="41" fillId="4" borderId="0" xfId="0" applyNumberFormat="1" applyFont="1" applyFill="1" applyBorder="1" applyAlignment="1">
      <alignment horizontal="center"/>
    </xf>
    <xf numFmtId="0" fontId="5" fillId="4" borderId="1" xfId="0" applyFont="1" applyFill="1" applyBorder="1" applyAlignment="1" applyProtection="1">
      <alignment horizontal="left"/>
      <protection locked="0"/>
    </xf>
    <xf numFmtId="0" fontId="4" fillId="4" borderId="0" xfId="0" applyFont="1" applyFill="1" applyBorder="1" applyAlignment="1">
      <alignment horizontal="right"/>
    </xf>
    <xf numFmtId="0" fontId="5" fillId="4" borderId="2" xfId="0" applyFont="1" applyFill="1" applyBorder="1" applyAlignment="1" applyProtection="1">
      <alignment horizontal="left"/>
      <protection locked="0"/>
    </xf>
    <xf numFmtId="0" fontId="4" fillId="4" borderId="12" xfId="0" applyFont="1" applyFill="1" applyBorder="1" applyAlignment="1" applyProtection="1">
      <alignment horizontal="right" wrapText="1"/>
    </xf>
    <xf numFmtId="0" fontId="38" fillId="4" borderId="0" xfId="0" applyFont="1" applyFill="1" applyBorder="1" applyAlignment="1">
      <alignment horizontal="right" wrapText="1"/>
    </xf>
    <xf numFmtId="0" fontId="12" fillId="2" borderId="3" xfId="0" applyFont="1" applyFill="1" applyBorder="1" applyAlignment="1">
      <alignment vertical="center" textRotation="255"/>
    </xf>
    <xf numFmtId="0" fontId="12" fillId="2" borderId="8" xfId="0" applyFont="1" applyFill="1" applyBorder="1" applyAlignment="1">
      <alignment vertical="center" textRotation="255"/>
    </xf>
    <xf numFmtId="0" fontId="12" fillId="2" borderId="20" xfId="0" applyFont="1" applyFill="1" applyBorder="1" applyAlignment="1">
      <alignment vertical="center" textRotation="255"/>
    </xf>
    <xf numFmtId="0" fontId="4" fillId="4" borderId="0" xfId="0" applyFont="1" applyFill="1" applyBorder="1" applyAlignment="1">
      <alignment horizontal="right" shrinkToFit="1"/>
    </xf>
    <xf numFmtId="0" fontId="0" fillId="4" borderId="34" xfId="0" applyFill="1" applyBorder="1" applyAlignment="1">
      <alignment horizontal="center" vertical="center" wrapText="1"/>
    </xf>
    <xf numFmtId="0" fontId="34" fillId="4" borderId="0" xfId="0" applyFont="1" applyFill="1" applyAlignment="1" applyProtection="1">
      <alignment horizontal="right"/>
    </xf>
    <xf numFmtId="14" fontId="34" fillId="4" borderId="1" xfId="0" applyNumberFormat="1" applyFont="1" applyFill="1" applyBorder="1" applyAlignment="1" applyProtection="1">
      <alignment horizontal="center"/>
    </xf>
    <xf numFmtId="0" fontId="40" fillId="4" borderId="3" xfId="0" applyFont="1" applyFill="1" applyBorder="1" applyAlignment="1">
      <alignment horizontal="center"/>
    </xf>
    <xf numFmtId="0" fontId="40" fillId="4" borderId="4" xfId="0" applyFont="1" applyFill="1" applyBorder="1" applyAlignment="1">
      <alignment horizontal="center"/>
    </xf>
    <xf numFmtId="0" fontId="40" fillId="4" borderId="5" xfId="0" applyFont="1" applyFill="1" applyBorder="1" applyAlignment="1">
      <alignment horizontal="center"/>
    </xf>
    <xf numFmtId="2" fontId="43" fillId="8" borderId="8" xfId="0" applyNumberFormat="1" applyFont="1" applyFill="1" applyBorder="1" applyAlignment="1" applyProtection="1">
      <alignment horizontal="center" vertical="center"/>
      <protection locked="0"/>
    </xf>
    <xf numFmtId="2" fontId="43" fillId="8" borderId="0" xfId="0" applyNumberFormat="1" applyFont="1" applyFill="1" applyBorder="1" applyAlignment="1" applyProtection="1">
      <alignment horizontal="center" vertical="center"/>
      <protection locked="0"/>
    </xf>
    <xf numFmtId="2" fontId="42" fillId="4" borderId="14" xfId="0" applyNumberFormat="1" applyFont="1" applyFill="1" applyBorder="1" applyAlignment="1">
      <alignment horizontal="center" vertical="center"/>
    </xf>
    <xf numFmtId="2" fontId="41" fillId="4" borderId="18" xfId="0" applyNumberFormat="1" applyFont="1" applyFill="1" applyBorder="1" applyAlignment="1">
      <alignment horizontal="center"/>
    </xf>
    <xf numFmtId="2" fontId="41" fillId="4" borderId="13" xfId="0" applyNumberFormat="1" applyFont="1" applyFill="1" applyBorder="1" applyAlignment="1">
      <alignment horizontal="center"/>
    </xf>
    <xf numFmtId="0" fontId="3" fillId="4" borderId="28" xfId="0" applyFont="1" applyFill="1" applyBorder="1" applyAlignment="1">
      <alignment horizontal="center"/>
    </xf>
    <xf numFmtId="0" fontId="3" fillId="4" borderId="15" xfId="0" applyFont="1" applyFill="1" applyBorder="1" applyAlignment="1">
      <alignment horizontal="center"/>
    </xf>
    <xf numFmtId="0" fontId="44" fillId="4" borderId="4" xfId="0" applyFont="1" applyFill="1" applyBorder="1" applyAlignment="1">
      <alignment horizontal="center" vertical="top" wrapText="1"/>
    </xf>
    <xf numFmtId="0" fontId="24" fillId="4" borderId="0" xfId="0" applyFont="1" applyFill="1" applyAlignment="1" applyProtection="1">
      <alignment horizontal="center"/>
    </xf>
    <xf numFmtId="2" fontId="34" fillId="4" borderId="1" xfId="0" applyNumberFormat="1" applyFont="1" applyFill="1" applyBorder="1" applyAlignment="1" applyProtection="1">
      <alignment horizontal="center"/>
    </xf>
    <xf numFmtId="2" fontId="34" fillId="4" borderId="2" xfId="0" applyNumberFormat="1" applyFont="1" applyFill="1" applyBorder="1" applyAlignment="1" applyProtection="1">
      <alignment horizontal="center"/>
    </xf>
    <xf numFmtId="0" fontId="12" fillId="2" borderId="3" xfId="0" applyFont="1" applyFill="1" applyBorder="1" applyAlignment="1" applyProtection="1">
      <alignment horizontal="center" vertical="center" textRotation="255"/>
    </xf>
    <xf numFmtId="0" fontId="12" fillId="2" borderId="8" xfId="0" applyFont="1" applyFill="1" applyBorder="1" applyAlignment="1" applyProtection="1">
      <alignment horizontal="center" vertical="center" textRotation="255"/>
    </xf>
    <xf numFmtId="0" fontId="12" fillId="2" borderId="20" xfId="0" applyFont="1" applyFill="1" applyBorder="1" applyAlignment="1" applyProtection="1">
      <alignment horizontal="center" vertical="center" textRotation="255"/>
    </xf>
    <xf numFmtId="0" fontId="3" fillId="4" borderId="31" xfId="0" applyFont="1" applyFill="1" applyBorder="1" applyAlignment="1">
      <alignment horizontal="center"/>
    </xf>
    <xf numFmtId="0" fontId="3" fillId="4" borderId="23" xfId="0" applyFont="1" applyFill="1" applyBorder="1" applyAlignment="1">
      <alignment horizontal="center"/>
    </xf>
    <xf numFmtId="0" fontId="12" fillId="2" borderId="6" xfId="0" applyFont="1" applyFill="1" applyBorder="1" applyAlignment="1" applyProtection="1">
      <alignment horizontal="center" vertical="center" textRotation="255"/>
    </xf>
    <xf numFmtId="0" fontId="12" fillId="2" borderId="9" xfId="0" applyFont="1" applyFill="1" applyBorder="1" applyAlignment="1" applyProtection="1">
      <alignment horizontal="center" vertical="center" textRotation="255"/>
    </xf>
    <xf numFmtId="0" fontId="12" fillId="2" borderId="22" xfId="0" applyFont="1" applyFill="1" applyBorder="1" applyAlignment="1" applyProtection="1">
      <alignment horizontal="center" vertical="center" textRotation="255"/>
    </xf>
    <xf numFmtId="0" fontId="16" fillId="4" borderId="0" xfId="0" applyFont="1" applyFill="1" applyAlignment="1" applyProtection="1">
      <alignment horizontal="left"/>
    </xf>
    <xf numFmtId="0" fontId="12" fillId="0" borderId="0" xfId="0" applyFont="1" applyFill="1" applyBorder="1" applyAlignment="1" applyProtection="1">
      <alignment horizontal="center" vertical="center" textRotation="255"/>
    </xf>
    <xf numFmtId="0" fontId="6" fillId="4" borderId="20" xfId="0" applyFont="1" applyFill="1" applyBorder="1" applyAlignment="1">
      <alignment horizontal="center" vertical="top" wrapText="1"/>
    </xf>
    <xf numFmtId="0" fontId="6" fillId="4" borderId="31"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27" xfId="0" applyFont="1" applyFill="1" applyBorder="1" applyAlignment="1">
      <alignment horizontal="center" vertical="top" wrapText="1"/>
    </xf>
    <xf numFmtId="0" fontId="16" fillId="4" borderId="15" xfId="0" applyFont="1" applyFill="1" applyBorder="1" applyAlignment="1" applyProtection="1">
      <alignment horizontal="left"/>
    </xf>
    <xf numFmtId="0" fontId="3" fillId="4" borderId="0" xfId="0" applyFont="1" applyFill="1" applyAlignment="1" applyProtection="1">
      <alignment horizontal="right"/>
    </xf>
    <xf numFmtId="0" fontId="5" fillId="4" borderId="1" xfId="0" applyFont="1" applyFill="1" applyBorder="1" applyAlignment="1" applyProtection="1">
      <alignment horizontal="left"/>
    </xf>
    <xf numFmtId="0" fontId="5" fillId="4" borderId="2" xfId="0" applyFont="1" applyFill="1" applyBorder="1" applyAlignment="1" applyProtection="1">
      <alignment horizontal="left"/>
    </xf>
    <xf numFmtId="0" fontId="31" fillId="4" borderId="0" xfId="0" applyFont="1" applyFill="1" applyBorder="1" applyAlignment="1" applyProtection="1">
      <alignment horizontal="center" wrapText="1"/>
    </xf>
    <xf numFmtId="0" fontId="21" fillId="4" borderId="3" xfId="0" applyFont="1" applyFill="1" applyBorder="1" applyAlignment="1" applyProtection="1">
      <alignment horizontal="center"/>
    </xf>
    <xf numFmtId="0" fontId="21" fillId="4" borderId="4" xfId="0" applyFont="1" applyFill="1" applyBorder="1" applyAlignment="1" applyProtection="1">
      <alignment horizontal="center"/>
    </xf>
    <xf numFmtId="0" fontId="21" fillId="4" borderId="5" xfId="0" applyFont="1" applyFill="1" applyBorder="1" applyAlignment="1" applyProtection="1">
      <alignment horizontal="center"/>
    </xf>
    <xf numFmtId="0" fontId="22" fillId="4" borderId="8" xfId="0" applyFont="1" applyFill="1" applyBorder="1" applyAlignment="1" applyProtection="1">
      <alignment horizontal="center" vertical="center" wrapText="1"/>
    </xf>
    <xf numFmtId="0" fontId="22" fillId="4" borderId="0" xfId="0" applyFont="1" applyFill="1" applyBorder="1" applyAlignment="1" applyProtection="1">
      <alignment horizontal="center" vertical="center" wrapText="1"/>
    </xf>
    <xf numFmtId="0" fontId="22" fillId="4" borderId="15" xfId="0" applyFont="1" applyFill="1" applyBorder="1" applyAlignment="1" applyProtection="1">
      <alignment horizontal="center" vertical="center" wrapText="1"/>
    </xf>
    <xf numFmtId="164" fontId="16" fillId="11" borderId="1" xfId="0" applyNumberFormat="1" applyFont="1" applyFill="1" applyBorder="1" applyAlignment="1" applyProtection="1">
      <alignment horizontal="center"/>
    </xf>
    <xf numFmtId="164" fontId="16" fillId="12" borderId="1" xfId="0" applyNumberFormat="1" applyFont="1" applyFill="1" applyBorder="1" applyAlignment="1" applyProtection="1">
      <alignment horizontal="center"/>
    </xf>
    <xf numFmtId="0" fontId="48" fillId="4" borderId="3" xfId="0" applyFont="1" applyFill="1" applyBorder="1" applyAlignment="1" applyProtection="1">
      <alignment horizontal="left" vertical="top" wrapText="1"/>
      <protection locked="0"/>
    </xf>
    <xf numFmtId="0" fontId="48" fillId="4" borderId="4" xfId="0" applyFont="1" applyFill="1" applyBorder="1" applyAlignment="1" applyProtection="1">
      <alignment horizontal="left" vertical="top" wrapText="1"/>
      <protection locked="0"/>
    </xf>
    <xf numFmtId="0" fontId="48" fillId="4" borderId="5" xfId="0" applyFont="1" applyFill="1" applyBorder="1" applyAlignment="1" applyProtection="1">
      <alignment horizontal="left" vertical="top" wrapText="1"/>
      <protection locked="0"/>
    </xf>
    <xf numFmtId="0" fontId="48" fillId="4" borderId="8" xfId="0" applyFont="1" applyFill="1" applyBorder="1" applyAlignment="1" applyProtection="1">
      <alignment horizontal="left" vertical="top" wrapText="1"/>
      <protection locked="0"/>
    </xf>
    <xf numFmtId="0" fontId="48" fillId="4" borderId="0" xfId="0" applyFont="1" applyFill="1" applyBorder="1" applyAlignment="1" applyProtection="1">
      <alignment horizontal="left" vertical="top" wrapText="1"/>
      <protection locked="0"/>
    </xf>
    <xf numFmtId="0" fontId="48" fillId="4" borderId="15" xfId="0" applyFont="1" applyFill="1" applyBorder="1" applyAlignment="1" applyProtection="1">
      <alignment horizontal="left" vertical="top" wrapText="1"/>
      <protection locked="0"/>
    </xf>
    <xf numFmtId="0" fontId="48" fillId="4" borderId="20" xfId="0" applyFont="1" applyFill="1" applyBorder="1" applyAlignment="1" applyProtection="1">
      <alignment horizontal="left" vertical="top" wrapText="1"/>
      <protection locked="0"/>
    </xf>
    <xf numFmtId="0" fontId="48" fillId="4" borderId="31" xfId="0" applyFont="1" applyFill="1" applyBorder="1" applyAlignment="1" applyProtection="1">
      <alignment horizontal="left" vertical="top" wrapText="1"/>
      <protection locked="0"/>
    </xf>
    <xf numFmtId="0" fontId="48" fillId="4" borderId="27" xfId="0" applyFont="1" applyFill="1" applyBorder="1" applyAlignment="1" applyProtection="1">
      <alignment horizontal="left" vertical="top" wrapText="1"/>
      <protection locked="0"/>
    </xf>
    <xf numFmtId="0" fontId="20" fillId="4" borderId="31" xfId="0" applyFont="1" applyFill="1" applyBorder="1" applyAlignment="1">
      <alignment horizontal="center" vertical="center" wrapText="1"/>
    </xf>
    <xf numFmtId="0" fontId="20" fillId="4" borderId="0" xfId="0" applyFont="1" applyFill="1" applyBorder="1" applyAlignment="1">
      <alignment horizontal="center" vertical="top" wrapText="1"/>
    </xf>
    <xf numFmtId="0" fontId="0" fillId="0" borderId="0" xfId="0" applyFill="1" applyAlignment="1">
      <alignment horizontal="center"/>
    </xf>
  </cellXfs>
  <cellStyles count="1">
    <cellStyle name="Normal" xfId="0" builtinId="0"/>
  </cellStyles>
  <dxfs count="2082">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bgColor rgb="FFFF99FF"/>
        </patternFill>
      </fill>
    </dxf>
    <dxf>
      <fill>
        <patternFill patternType="lightDown"/>
      </fill>
    </dxf>
    <dxf>
      <fill>
        <patternFill>
          <bgColor rgb="FF0070C0"/>
        </patternFill>
      </fill>
    </dxf>
    <dxf>
      <fill>
        <patternFill>
          <bgColor theme="5" tint="-0.24994659260841701"/>
        </patternFill>
      </fill>
    </dxf>
    <dxf>
      <fill>
        <patternFill>
          <bgColor theme="5" tint="0.39994506668294322"/>
        </patternFill>
      </fill>
    </dxf>
    <dxf>
      <fill>
        <patternFill>
          <bgColor rgb="FFFF99FF"/>
        </patternFill>
      </fill>
    </dxf>
    <dxf>
      <fill>
        <patternFill patternType="lightDown"/>
      </fill>
    </dxf>
    <dxf>
      <fill>
        <patternFill>
          <bgColor rgb="FF0070C0"/>
        </patternFill>
      </fill>
    </dxf>
    <dxf>
      <fill>
        <patternFill>
          <bgColor theme="5" tint="-0.24994659260841701"/>
        </patternFill>
      </fill>
    </dxf>
    <dxf>
      <fill>
        <patternFill>
          <bgColor theme="5" tint="0.39994506668294322"/>
        </patternFill>
      </fill>
    </dxf>
    <dxf>
      <fill>
        <patternFill>
          <bgColor rgb="FFFF99FF"/>
        </patternFill>
      </fill>
    </dxf>
    <dxf>
      <fill>
        <patternFill patternType="lightDown"/>
      </fill>
    </dxf>
    <dxf>
      <fill>
        <patternFill>
          <bgColor rgb="FF0070C0"/>
        </patternFill>
      </fill>
    </dxf>
    <dxf>
      <fill>
        <patternFill>
          <bgColor theme="5" tint="-0.24994659260841701"/>
        </patternFill>
      </fill>
    </dxf>
    <dxf>
      <fill>
        <patternFill>
          <bgColor theme="5" tint="0.39994506668294322"/>
        </patternFill>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bgColor rgb="FFFF99FF"/>
        </patternFill>
      </fill>
    </dxf>
    <dxf>
      <fill>
        <patternFill patternType="lightDown"/>
      </fill>
    </dxf>
    <dxf>
      <fill>
        <patternFill>
          <bgColor rgb="FF0070C0"/>
        </patternFill>
      </fill>
    </dxf>
    <dxf>
      <fill>
        <patternFill>
          <bgColor theme="5" tint="-0.24994659260841701"/>
        </patternFill>
      </fill>
    </dxf>
    <dxf>
      <fill>
        <patternFill>
          <bgColor theme="5" tint="0.39994506668294322"/>
        </patternFill>
      </fill>
    </dxf>
    <dxf>
      <fill>
        <patternFill>
          <bgColor rgb="FF00B050"/>
        </patternFill>
      </fill>
    </dxf>
    <dxf>
      <fill>
        <patternFill>
          <bgColor rgb="FFFF99FF"/>
        </patternFill>
      </fill>
    </dxf>
    <dxf>
      <fill>
        <patternFill patternType="lightDown"/>
      </fill>
    </dxf>
    <dxf>
      <fill>
        <patternFill>
          <bgColor rgb="FF0070C0"/>
        </patternFill>
      </fill>
    </dxf>
    <dxf>
      <fill>
        <patternFill>
          <bgColor theme="5" tint="-0.24994659260841701"/>
        </patternFill>
      </fill>
    </dxf>
    <dxf>
      <fill>
        <patternFill>
          <bgColor theme="5" tint="0.39994506668294322"/>
        </patternFill>
      </fill>
    </dxf>
    <dxf>
      <fill>
        <patternFill>
          <bgColor rgb="FF0070C0"/>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ont>
        <color theme="9" tint="-0.24994659260841701"/>
      </font>
    </dxf>
    <dxf>
      <font>
        <color rgb="FFC00000"/>
      </font>
    </dxf>
    <dxf>
      <font>
        <color theme="9" tint="-0.24994659260841701"/>
      </font>
    </dxf>
    <dxf>
      <font>
        <color rgb="FFFF0000"/>
      </font>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ont>
        <b/>
        <i val="0"/>
        <color rgb="FFFF0000"/>
      </font>
    </dxf>
    <dxf>
      <fill>
        <patternFill>
          <bgColor theme="0"/>
        </patternFill>
      </fill>
    </dxf>
    <dxf>
      <fill>
        <patternFill>
          <bgColor rgb="FF66FF66"/>
        </patternFill>
      </fill>
    </dxf>
    <dxf>
      <fill>
        <patternFill>
          <bgColor rgb="FF66FFFF"/>
        </patternFill>
      </fill>
    </dxf>
    <dxf>
      <fill>
        <patternFill>
          <bgColor rgb="FFFFFF00"/>
        </patternFill>
      </fill>
    </dxf>
    <dxf>
      <font>
        <b/>
        <i val="0"/>
        <color rgb="FFFF0000"/>
      </font>
    </dxf>
    <dxf>
      <font>
        <b/>
        <i val="0"/>
        <color rgb="FFFF0000"/>
      </font>
    </dxf>
    <dxf>
      <fill>
        <patternFill>
          <bgColor theme="0"/>
        </patternFill>
      </fill>
    </dxf>
    <dxf>
      <fill>
        <patternFill>
          <bgColor rgb="FF66FF66"/>
        </patternFill>
      </fill>
    </dxf>
    <dxf>
      <fill>
        <patternFill>
          <bgColor rgb="FF66FFFF"/>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ill>
        <patternFill>
          <bgColor theme="0"/>
        </patternFill>
      </fill>
    </dxf>
    <dxf>
      <font>
        <color rgb="FF9C0006"/>
      </font>
    </dxf>
    <dxf>
      <fill>
        <patternFill>
          <bgColor rgb="FFFF99FF"/>
        </patternFill>
      </fill>
    </dxf>
    <dxf>
      <fill>
        <patternFill patternType="lightDown"/>
      </fill>
    </dxf>
    <dxf>
      <fill>
        <patternFill>
          <bgColor rgb="FF0070C0"/>
        </patternFill>
      </fill>
    </dxf>
    <dxf>
      <fill>
        <patternFill>
          <bgColor theme="5" tint="-0.24994659260841701"/>
        </patternFill>
      </fill>
    </dxf>
    <dxf>
      <fill>
        <patternFill>
          <bgColor theme="5" tint="0.39994506668294322"/>
        </patternFill>
      </fill>
    </dxf>
    <dxf>
      <fill>
        <patternFill>
          <bgColor rgb="FFFF99FF"/>
        </patternFill>
      </fill>
    </dxf>
    <dxf>
      <fill>
        <patternFill patternType="lightDown"/>
      </fill>
    </dxf>
    <dxf>
      <fill>
        <patternFill>
          <bgColor rgb="FF0070C0"/>
        </patternFill>
      </fill>
    </dxf>
    <dxf>
      <fill>
        <patternFill>
          <bgColor theme="5" tint="-0.24994659260841701"/>
        </patternFill>
      </fill>
    </dxf>
    <dxf>
      <fill>
        <patternFill>
          <bgColor theme="5" tint="0.39994506668294322"/>
        </patternFill>
      </fill>
    </dxf>
    <dxf>
      <fill>
        <patternFill patternType="lightDown"/>
      </fill>
      <border>
        <bottom/>
      </border>
    </dxf>
    <dxf>
      <fill>
        <patternFill>
          <bgColor rgb="FFFF99FF"/>
        </patternFill>
      </fill>
      <border>
        <bottom/>
      </border>
    </dxf>
    <dxf>
      <fill>
        <patternFill>
          <bgColor theme="7" tint="0.79998168889431442"/>
        </patternFill>
      </fill>
    </dxf>
    <dxf>
      <fill>
        <patternFill>
          <bgColor rgb="FF0070C0"/>
        </patternFill>
      </fill>
    </dxf>
    <dxf>
      <fill>
        <patternFill>
          <bgColor rgb="FF00B050"/>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ont>
        <color theme="9" tint="-0.24994659260841701"/>
      </font>
    </dxf>
    <dxf>
      <font>
        <color rgb="FFFF0000"/>
      </font>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rgb="FF9C0006"/>
      </font>
    </dxf>
    <dxf>
      <font>
        <color rgb="FF9C0006"/>
      </font>
    </dxf>
    <dxf>
      <fill>
        <patternFill>
          <bgColor rgb="FFFF99FF"/>
        </patternFill>
      </fill>
    </dxf>
    <dxf>
      <fill>
        <patternFill patternType="lightDown"/>
      </fill>
    </dxf>
    <dxf>
      <fill>
        <patternFill>
          <bgColor rgb="FF0070C0"/>
        </patternFill>
      </fill>
    </dxf>
    <dxf>
      <fill>
        <patternFill>
          <bgColor theme="5" tint="-0.24994659260841701"/>
        </patternFill>
      </fill>
    </dxf>
    <dxf>
      <fill>
        <patternFill>
          <bgColor theme="5" tint="0.39994506668294322"/>
        </patternFill>
      </fill>
    </dxf>
    <dxf>
      <fill>
        <patternFill patternType="lightDown"/>
      </fill>
      <border>
        <bottom/>
      </border>
    </dxf>
    <dxf>
      <fill>
        <patternFill>
          <bgColor rgb="FFFF99FF"/>
        </patternFill>
      </fill>
      <border>
        <bottom/>
      </border>
    </dxf>
    <dxf>
      <fill>
        <patternFill>
          <bgColor theme="7" tint="0.79998168889431442"/>
        </patternFill>
      </fill>
    </dxf>
    <dxf>
      <fill>
        <patternFill>
          <bgColor rgb="FF0070C0"/>
        </patternFill>
      </fill>
    </dxf>
    <dxf>
      <fill>
        <patternFill>
          <bgColor rgb="FF00B050"/>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ont>
        <color theme="9" tint="-0.24994659260841701"/>
      </font>
    </dxf>
    <dxf>
      <font>
        <color rgb="FFFF0000"/>
      </font>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ont>
        <color rgb="FF9C0006"/>
      </font>
    </dxf>
    <dxf>
      <font>
        <color rgb="FF9C0006"/>
      </font>
    </dxf>
  </dxfs>
  <tableStyles count="0" defaultTableStyle="TableStyleMedium2" defaultPivotStyle="PivotStyleLight16"/>
  <colors>
    <mruColors>
      <color rgb="FF66FFFF"/>
      <color rgb="FF66FF66"/>
      <color rgb="FFFF99FF"/>
      <color rgb="FFFF66FF"/>
      <color rgb="FFFF66CC"/>
      <color rgb="FFFFCCFF"/>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485775</xdr:colOff>
          <xdr:row>1</xdr:row>
          <xdr:rowOff>238125</xdr:rowOff>
        </xdr:from>
        <xdr:to>
          <xdr:col>22</xdr:col>
          <xdr:colOff>190500</xdr:colOff>
          <xdr:row>2</xdr:row>
          <xdr:rowOff>28575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Original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485775</xdr:colOff>
          <xdr:row>1</xdr:row>
          <xdr:rowOff>409575</xdr:rowOff>
        </xdr:from>
        <xdr:to>
          <xdr:col>22</xdr:col>
          <xdr:colOff>228600</xdr:colOff>
          <xdr:row>2</xdr:row>
          <xdr:rowOff>190500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Revision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485775</xdr:colOff>
          <xdr:row>2</xdr:row>
          <xdr:rowOff>152400</xdr:rowOff>
        </xdr:from>
        <xdr:to>
          <xdr:col>22</xdr:col>
          <xdr:colOff>228600</xdr:colOff>
          <xdr:row>2</xdr:row>
          <xdr:rowOff>352425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Final Revision</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3.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W38"/>
  <sheetViews>
    <sheetView showGridLines="0" tabSelected="1" view="pageLayout" zoomScaleNormal="100" workbookViewId="0">
      <selection activeCell="A2" sqref="A2:L2"/>
    </sheetView>
  </sheetViews>
  <sheetFormatPr defaultRowHeight="15" x14ac:dyDescent="0.25"/>
  <cols>
    <col min="2" max="2" width="8" customWidth="1"/>
    <col min="3" max="3" width="11.28515625" customWidth="1"/>
    <col min="4" max="4" width="10.42578125" customWidth="1"/>
    <col min="6" max="6" width="11.42578125" customWidth="1"/>
    <col min="7" max="7" width="10.85546875" customWidth="1"/>
    <col min="8" max="8" width="10.7109375" customWidth="1"/>
    <col min="11" max="11" width="10.5703125" bestFit="1" customWidth="1"/>
    <col min="12" max="12" width="10.42578125" customWidth="1"/>
  </cols>
  <sheetData>
    <row r="1" spans="1:23" ht="18.75" x14ac:dyDescent="0.3">
      <c r="A1" s="219" t="s">
        <v>214</v>
      </c>
      <c r="B1" s="219"/>
      <c r="C1" s="219"/>
      <c r="D1" s="219"/>
      <c r="E1" s="219"/>
      <c r="F1" s="219"/>
      <c r="G1" s="219"/>
      <c r="H1" s="219"/>
      <c r="I1" s="219"/>
      <c r="J1" s="219"/>
      <c r="K1" s="219"/>
      <c r="L1" s="219"/>
      <c r="M1" s="179"/>
      <c r="N1" s="34"/>
      <c r="O1" s="34"/>
      <c r="P1" s="34"/>
      <c r="Q1" s="34"/>
      <c r="R1" s="34"/>
      <c r="S1" s="34"/>
      <c r="T1" s="34"/>
      <c r="U1" s="34"/>
      <c r="V1" s="34"/>
      <c r="W1" s="34"/>
    </row>
    <row r="2" spans="1:23" ht="41.25" customHeight="1" x14ac:dyDescent="0.25">
      <c r="A2" s="220" t="s">
        <v>566</v>
      </c>
      <c r="B2" s="220"/>
      <c r="C2" s="220"/>
      <c r="D2" s="220"/>
      <c r="E2" s="220"/>
      <c r="F2" s="220"/>
      <c r="G2" s="220"/>
      <c r="H2" s="220"/>
      <c r="I2" s="220"/>
      <c r="J2" s="220"/>
      <c r="K2" s="220"/>
      <c r="L2" s="220"/>
      <c r="M2" s="179"/>
      <c r="N2" s="34"/>
      <c r="O2" s="34"/>
      <c r="P2" s="34"/>
      <c r="Q2" s="34"/>
      <c r="R2" s="34"/>
      <c r="S2" s="34"/>
      <c r="T2" s="34"/>
      <c r="U2" s="34"/>
      <c r="V2" s="34"/>
      <c r="W2" s="34"/>
    </row>
    <row r="3" spans="1:23" ht="81" customHeight="1" x14ac:dyDescent="0.25">
      <c r="A3" s="129" t="s">
        <v>42</v>
      </c>
      <c r="B3" s="215" t="s">
        <v>197</v>
      </c>
      <c r="C3" s="215"/>
      <c r="D3" s="215"/>
      <c r="E3" s="215"/>
      <c r="F3" s="215"/>
      <c r="G3" s="215"/>
      <c r="H3" s="215"/>
      <c r="I3" s="215"/>
      <c r="J3" s="215"/>
      <c r="K3" s="215"/>
      <c r="L3" s="215"/>
      <c r="M3" s="179"/>
      <c r="N3" s="34"/>
      <c r="O3" s="34"/>
      <c r="P3" s="34"/>
      <c r="Q3" s="34"/>
      <c r="R3" s="34"/>
      <c r="S3" s="34"/>
      <c r="T3" s="34"/>
      <c r="U3" s="34"/>
      <c r="V3" s="34"/>
      <c r="W3" s="34"/>
    </row>
    <row r="4" spans="1:23" ht="15.75" x14ac:dyDescent="0.25">
      <c r="A4" s="208"/>
      <c r="B4" s="130"/>
      <c r="C4" s="130"/>
      <c r="D4" s="131"/>
      <c r="E4" s="131"/>
      <c r="F4" s="131"/>
      <c r="G4" s="131"/>
      <c r="H4" s="131"/>
      <c r="I4" s="131"/>
      <c r="J4" s="45"/>
      <c r="K4" s="11"/>
      <c r="L4" s="68"/>
      <c r="M4" s="179"/>
      <c r="N4" s="34"/>
      <c r="P4" s="34"/>
      <c r="Q4" s="34"/>
      <c r="R4" s="34"/>
      <c r="S4" s="34"/>
      <c r="T4" s="34"/>
      <c r="U4" s="34"/>
      <c r="V4" s="34"/>
      <c r="W4" s="34"/>
    </row>
    <row r="5" spans="1:23" ht="50.1" customHeight="1" x14ac:dyDescent="0.25">
      <c r="A5" s="132" t="s">
        <v>42</v>
      </c>
      <c r="B5" s="215" t="s">
        <v>587</v>
      </c>
      <c r="C5" s="215"/>
      <c r="D5" s="215"/>
      <c r="E5" s="215"/>
      <c r="F5" s="215"/>
      <c r="G5" s="215"/>
      <c r="H5" s="215"/>
      <c r="I5" s="215"/>
      <c r="J5" s="215"/>
      <c r="K5" s="215"/>
      <c r="L5" s="215"/>
      <c r="M5" s="179"/>
      <c r="N5" s="34"/>
      <c r="O5" s="34"/>
      <c r="P5" s="34"/>
      <c r="Q5" s="34"/>
      <c r="R5" s="34"/>
      <c r="S5" s="34"/>
      <c r="T5" s="34"/>
      <c r="U5" s="34"/>
      <c r="V5" s="34"/>
      <c r="W5" s="34"/>
    </row>
    <row r="6" spans="1:23" ht="15.75" x14ac:dyDescent="0.25">
      <c r="A6" s="209"/>
      <c r="B6" s="204"/>
      <c r="C6" s="204"/>
      <c r="D6" s="204"/>
      <c r="E6" s="204"/>
      <c r="F6" s="204"/>
      <c r="G6" s="204"/>
      <c r="H6" s="204"/>
      <c r="I6" s="204"/>
      <c r="J6" s="204"/>
      <c r="K6" s="204"/>
      <c r="L6" s="204"/>
      <c r="M6" s="179"/>
      <c r="N6" s="34"/>
      <c r="O6" s="34"/>
      <c r="P6" s="34"/>
      <c r="Q6" s="34"/>
      <c r="R6" s="34"/>
      <c r="S6" s="34"/>
      <c r="T6" s="34"/>
      <c r="U6" s="34"/>
      <c r="V6" s="34"/>
      <c r="W6" s="34"/>
    </row>
    <row r="7" spans="1:23" ht="50.1" customHeight="1" x14ac:dyDescent="0.25">
      <c r="A7" s="129" t="s">
        <v>42</v>
      </c>
      <c r="B7" s="215" t="s">
        <v>588</v>
      </c>
      <c r="C7" s="215"/>
      <c r="D7" s="215"/>
      <c r="E7" s="215"/>
      <c r="F7" s="215"/>
      <c r="G7" s="215"/>
      <c r="H7" s="215"/>
      <c r="I7" s="215"/>
      <c r="J7" s="215"/>
      <c r="K7" s="215"/>
      <c r="L7" s="215"/>
      <c r="M7" s="179"/>
      <c r="N7" s="34"/>
      <c r="O7" s="34"/>
      <c r="P7" s="34"/>
      <c r="Q7" s="34"/>
      <c r="R7" s="34"/>
      <c r="S7" s="34"/>
      <c r="T7" s="34"/>
      <c r="U7" s="34"/>
      <c r="V7" s="34"/>
      <c r="W7" s="34"/>
    </row>
    <row r="8" spans="1:23" ht="15.75" x14ac:dyDescent="0.25">
      <c r="A8" s="208"/>
      <c r="B8" s="130"/>
      <c r="C8" s="133"/>
      <c r="D8" s="131"/>
      <c r="E8" s="131"/>
      <c r="F8" s="131"/>
      <c r="G8" s="131"/>
      <c r="H8" s="131"/>
      <c r="I8" s="131"/>
      <c r="J8" s="45"/>
      <c r="K8" s="11"/>
      <c r="L8" s="68"/>
      <c r="M8" s="179"/>
      <c r="N8" s="34"/>
      <c r="O8" s="34"/>
      <c r="P8" s="34"/>
      <c r="Q8" s="34"/>
      <c r="R8" s="34"/>
      <c r="S8" s="34"/>
      <c r="T8" s="34"/>
      <c r="U8" s="34"/>
      <c r="V8" s="34"/>
      <c r="W8" s="34"/>
    </row>
    <row r="9" spans="1:23" ht="79.349999999999994" customHeight="1" x14ac:dyDescent="0.25">
      <c r="A9" s="129" t="s">
        <v>42</v>
      </c>
      <c r="B9" s="215" t="s">
        <v>198</v>
      </c>
      <c r="C9" s="215"/>
      <c r="D9" s="215"/>
      <c r="E9" s="215"/>
      <c r="F9" s="215"/>
      <c r="G9" s="215"/>
      <c r="H9" s="215"/>
      <c r="I9" s="215"/>
      <c r="J9" s="215"/>
      <c r="K9" s="215"/>
      <c r="L9" s="215"/>
      <c r="M9" s="179"/>
      <c r="N9" s="34"/>
      <c r="O9" s="34"/>
      <c r="P9" s="34"/>
      <c r="Q9" s="34"/>
      <c r="R9" s="34"/>
      <c r="S9" s="34"/>
      <c r="T9" s="34"/>
      <c r="U9" s="34"/>
      <c r="V9" s="34"/>
      <c r="W9" s="34"/>
    </row>
    <row r="10" spans="1:23" ht="14.25" customHeight="1" x14ac:dyDescent="0.25">
      <c r="A10" s="132"/>
      <c r="B10" s="130"/>
      <c r="C10" s="130"/>
      <c r="D10" s="130"/>
      <c r="E10" s="130"/>
      <c r="F10" s="130"/>
      <c r="G10" s="130"/>
      <c r="H10" s="130"/>
      <c r="I10" s="130"/>
      <c r="J10" s="130"/>
      <c r="K10" s="11"/>
      <c r="L10" s="68"/>
      <c r="M10" s="179"/>
      <c r="N10" s="34"/>
      <c r="O10" s="34"/>
      <c r="P10" s="34"/>
      <c r="Q10" s="34"/>
      <c r="R10" s="34"/>
      <c r="S10" s="34"/>
      <c r="T10" s="34"/>
      <c r="U10" s="34"/>
      <c r="V10" s="34"/>
      <c r="W10" s="34"/>
    </row>
    <row r="11" spans="1:23" ht="15.75" x14ac:dyDescent="0.25">
      <c r="A11" s="11"/>
      <c r="B11" s="182" t="s">
        <v>60</v>
      </c>
      <c r="C11" s="183"/>
      <c r="I11" s="45"/>
      <c r="J11" s="45"/>
      <c r="K11" s="11"/>
      <c r="L11" s="68"/>
      <c r="M11" s="179"/>
      <c r="N11" s="34"/>
      <c r="O11" s="34"/>
      <c r="P11" s="34"/>
      <c r="Q11" s="34"/>
      <c r="R11" s="34"/>
      <c r="S11" s="34"/>
      <c r="T11" s="34"/>
      <c r="U11" s="34"/>
      <c r="V11" s="34"/>
      <c r="W11" s="34"/>
    </row>
    <row r="12" spans="1:23" ht="15.75" x14ac:dyDescent="0.25">
      <c r="A12" s="11"/>
      <c r="B12" s="184" t="s">
        <v>180</v>
      </c>
      <c r="C12" s="180" t="s">
        <v>589</v>
      </c>
      <c r="F12" s="181" t="s">
        <v>573</v>
      </c>
      <c r="G12" s="213" t="s">
        <v>590</v>
      </c>
      <c r="I12" s="11"/>
      <c r="J12" s="45"/>
      <c r="K12" s="11"/>
      <c r="L12" s="11"/>
      <c r="M12" s="179"/>
    </row>
    <row r="13" spans="1:23" ht="15.75" x14ac:dyDescent="0.25">
      <c r="A13" s="11"/>
      <c r="B13" s="185"/>
      <c r="C13" s="180" t="s">
        <v>591</v>
      </c>
      <c r="G13" s="180" t="s">
        <v>591</v>
      </c>
      <c r="I13" s="11"/>
      <c r="J13" s="45"/>
      <c r="K13" s="11"/>
      <c r="L13" s="11"/>
      <c r="M13" s="179"/>
    </row>
    <row r="14" spans="1:23" ht="18.75" x14ac:dyDescent="0.25">
      <c r="A14" s="136" t="s">
        <v>43</v>
      </c>
      <c r="B14" s="134"/>
      <c r="C14" s="135"/>
      <c r="D14" s="11"/>
      <c r="E14" s="11"/>
      <c r="F14" s="11"/>
      <c r="G14" s="11"/>
      <c r="H14" s="11"/>
      <c r="I14" s="11"/>
      <c r="J14" s="45"/>
      <c r="K14" s="11"/>
      <c r="L14" s="11"/>
      <c r="M14" s="179"/>
    </row>
    <row r="15" spans="1:23" ht="15.75" x14ac:dyDescent="0.25">
      <c r="A15" s="137"/>
      <c r="B15" s="216" t="s">
        <v>61</v>
      </c>
      <c r="C15" s="216"/>
      <c r="D15" s="216"/>
      <c r="E15" s="216"/>
      <c r="F15" s="45"/>
      <c r="G15" s="216" t="s">
        <v>45</v>
      </c>
      <c r="H15" s="216"/>
      <c r="I15" s="216"/>
      <c r="J15" s="138"/>
      <c r="K15" s="11"/>
      <c r="L15" s="11"/>
      <c r="M15" s="179"/>
    </row>
    <row r="16" spans="1:23" x14ac:dyDescent="0.25">
      <c r="A16" s="137"/>
      <c r="B16" s="126"/>
      <c r="C16" s="217" t="s">
        <v>29</v>
      </c>
      <c r="D16" s="218"/>
      <c r="E16" s="140"/>
      <c r="F16" s="140"/>
      <c r="G16" s="8"/>
      <c r="H16" s="217" t="s">
        <v>194</v>
      </c>
      <c r="I16" s="218"/>
      <c r="J16" s="218"/>
      <c r="K16" s="218"/>
      <c r="L16" s="11"/>
      <c r="M16" s="179"/>
    </row>
    <row r="17" spans="1:13" x14ac:dyDescent="0.25">
      <c r="A17" s="137"/>
      <c r="B17" s="127"/>
      <c r="C17" s="217" t="s">
        <v>31</v>
      </c>
      <c r="D17" s="218"/>
      <c r="E17" s="218"/>
      <c r="F17" s="139"/>
      <c r="G17" s="9"/>
      <c r="H17" s="122" t="s">
        <v>199</v>
      </c>
      <c r="I17" s="45"/>
      <c r="J17" s="45"/>
      <c r="K17" s="11"/>
      <c r="L17" s="11"/>
      <c r="M17" s="179"/>
    </row>
    <row r="18" spans="1:13" x14ac:dyDescent="0.25">
      <c r="A18" s="128"/>
      <c r="B18" s="7"/>
      <c r="C18" s="141" t="s">
        <v>33</v>
      </c>
      <c r="D18" s="44"/>
      <c r="E18" s="44"/>
      <c r="F18" s="44"/>
      <c r="G18" s="10"/>
      <c r="H18" s="122" t="s">
        <v>200</v>
      </c>
      <c r="I18" s="45"/>
      <c r="J18" s="45"/>
      <c r="K18" s="11"/>
      <c r="L18" s="11"/>
      <c r="M18" s="179"/>
    </row>
    <row r="19" spans="1:13" x14ac:dyDescent="0.25">
      <c r="A19" s="128"/>
      <c r="B19" s="73"/>
      <c r="C19" s="217" t="s">
        <v>36</v>
      </c>
      <c r="D19" s="218"/>
      <c r="E19" s="218"/>
      <c r="F19" s="218"/>
      <c r="G19" s="123"/>
      <c r="H19" s="122" t="s">
        <v>201</v>
      </c>
      <c r="I19" s="45"/>
      <c r="J19" s="45"/>
      <c r="K19" s="11"/>
      <c r="L19" s="11"/>
      <c r="M19" s="179"/>
    </row>
    <row r="20" spans="1:13" x14ac:dyDescent="0.25">
      <c r="A20" s="128"/>
      <c r="B20" s="125"/>
      <c r="C20" s="217" t="s">
        <v>44</v>
      </c>
      <c r="D20" s="218"/>
      <c r="E20" s="218"/>
      <c r="F20" s="139"/>
      <c r="G20" s="45" t="s">
        <v>46</v>
      </c>
      <c r="H20" s="122" t="s">
        <v>34</v>
      </c>
      <c r="I20" s="45"/>
      <c r="J20" s="45"/>
      <c r="K20" s="11"/>
      <c r="L20" s="11"/>
      <c r="M20" s="179"/>
    </row>
    <row r="21" spans="1:13" x14ac:dyDescent="0.25">
      <c r="A21" s="128"/>
      <c r="B21" s="74"/>
      <c r="C21" s="218" t="s">
        <v>32</v>
      </c>
      <c r="D21" s="218"/>
      <c r="E21" s="139"/>
      <c r="F21" s="139"/>
      <c r="G21" s="45" t="s">
        <v>47</v>
      </c>
      <c r="H21" s="122" t="s">
        <v>32</v>
      </c>
      <c r="I21" s="45"/>
      <c r="J21" s="45"/>
      <c r="K21" s="11"/>
      <c r="L21" s="11"/>
      <c r="M21" s="179"/>
    </row>
    <row r="22" spans="1:13" x14ac:dyDescent="0.25">
      <c r="A22" s="128"/>
      <c r="B22" s="75"/>
      <c r="C22" s="218" t="s">
        <v>34</v>
      </c>
      <c r="D22" s="218"/>
      <c r="E22" s="139"/>
      <c r="F22" s="139"/>
      <c r="G22" s="146" t="s">
        <v>192</v>
      </c>
      <c r="H22" s="139" t="s">
        <v>202</v>
      </c>
      <c r="I22" s="45"/>
      <c r="J22" s="45"/>
      <c r="K22" s="11"/>
      <c r="L22" s="11"/>
      <c r="M22" s="179"/>
    </row>
    <row r="23" spans="1:13" x14ac:dyDescent="0.25">
      <c r="A23" s="128"/>
      <c r="B23" s="207"/>
      <c r="C23" s="205" t="s">
        <v>562</v>
      </c>
      <c r="D23" s="205"/>
      <c r="E23" s="205"/>
      <c r="F23" s="205"/>
      <c r="G23" s="206"/>
      <c r="H23" s="205"/>
      <c r="I23" s="45"/>
      <c r="J23" s="45"/>
      <c r="K23" s="11"/>
      <c r="L23" s="11"/>
      <c r="M23" s="179"/>
    </row>
    <row r="24" spans="1:13" x14ac:dyDescent="0.25">
      <c r="A24" s="45"/>
      <c r="B24" s="45"/>
      <c r="C24" s="45"/>
      <c r="D24" s="45"/>
      <c r="E24" s="45"/>
      <c r="F24" s="45"/>
      <c r="G24" s="45"/>
      <c r="H24" s="45"/>
      <c r="I24" s="45"/>
      <c r="J24" s="45"/>
      <c r="K24" s="11"/>
      <c r="L24" s="11"/>
      <c r="M24" s="179"/>
    </row>
    <row r="25" spans="1:13" ht="35.1" customHeight="1" x14ac:dyDescent="0.25">
      <c r="A25" s="129" t="s">
        <v>42</v>
      </c>
      <c r="B25" s="215" t="s">
        <v>567</v>
      </c>
      <c r="C25" s="215"/>
      <c r="D25" s="215"/>
      <c r="E25" s="215"/>
      <c r="F25" s="215"/>
      <c r="G25" s="215"/>
      <c r="H25" s="215"/>
      <c r="I25" s="215"/>
      <c r="J25" s="215"/>
      <c r="K25" s="215"/>
      <c r="L25" s="215"/>
      <c r="M25" s="179"/>
    </row>
    <row r="26" spans="1:13" ht="35.1" customHeight="1" x14ac:dyDescent="0.25">
      <c r="A26" s="129" t="s">
        <v>42</v>
      </c>
      <c r="B26" s="215" t="s">
        <v>52</v>
      </c>
      <c r="C26" s="215"/>
      <c r="D26" s="215"/>
      <c r="E26" s="215"/>
      <c r="F26" s="215"/>
      <c r="G26" s="215"/>
      <c r="H26" s="215"/>
      <c r="I26" s="215"/>
      <c r="J26" s="215"/>
      <c r="K26" s="215"/>
      <c r="L26" s="215"/>
      <c r="M26" s="179"/>
    </row>
    <row r="27" spans="1:13" ht="78.599999999999994" customHeight="1" x14ac:dyDescent="0.25">
      <c r="A27" s="129" t="s">
        <v>42</v>
      </c>
      <c r="B27" s="215" t="s">
        <v>203</v>
      </c>
      <c r="C27" s="215"/>
      <c r="D27" s="215"/>
      <c r="E27" s="215"/>
      <c r="F27" s="215"/>
      <c r="G27" s="215"/>
      <c r="H27" s="215"/>
      <c r="I27" s="215"/>
      <c r="J27" s="215"/>
      <c r="K27" s="215"/>
      <c r="L27" s="215"/>
      <c r="M27" s="179"/>
    </row>
    <row r="28" spans="1:13" x14ac:dyDescent="0.25">
      <c r="A28" s="6"/>
      <c r="B28" s="6"/>
      <c r="C28" s="6"/>
      <c r="D28" s="6"/>
      <c r="E28" s="6"/>
      <c r="F28" s="6"/>
      <c r="G28" s="6"/>
      <c r="H28" s="6"/>
      <c r="I28" s="6"/>
      <c r="J28" s="6"/>
    </row>
    <row r="29" spans="1:13" x14ac:dyDescent="0.25">
      <c r="A29" s="6"/>
      <c r="B29" s="6"/>
      <c r="C29" s="6"/>
      <c r="D29" s="6"/>
      <c r="E29" s="6"/>
      <c r="F29" s="6"/>
      <c r="G29" s="6"/>
    </row>
    <row r="30" spans="1:13" x14ac:dyDescent="0.25">
      <c r="A30" s="6"/>
      <c r="B30" s="6"/>
      <c r="C30" s="6"/>
      <c r="D30" s="6"/>
      <c r="E30" s="6"/>
      <c r="F30" s="6"/>
      <c r="G30" s="6"/>
    </row>
    <row r="31" spans="1:13" x14ac:dyDescent="0.25">
      <c r="A31" s="6"/>
      <c r="B31" s="6"/>
      <c r="C31" s="6"/>
      <c r="D31" s="6"/>
      <c r="E31" s="6"/>
      <c r="F31" s="6"/>
      <c r="G31" s="6"/>
    </row>
    <row r="32" spans="1:13" x14ac:dyDescent="0.25">
      <c r="A32" s="6"/>
      <c r="B32" s="6"/>
      <c r="C32" s="6"/>
      <c r="D32" s="6"/>
      <c r="E32" s="6"/>
      <c r="F32" s="6"/>
      <c r="G32" s="6"/>
    </row>
    <row r="33" spans="1:7" x14ac:dyDescent="0.25">
      <c r="A33" s="6"/>
      <c r="B33" s="6"/>
      <c r="C33" s="6"/>
      <c r="D33" s="6"/>
      <c r="E33" s="6"/>
      <c r="F33" s="6"/>
      <c r="G33" s="6"/>
    </row>
    <row r="34" spans="1:7" x14ac:dyDescent="0.25">
      <c r="A34" s="6"/>
      <c r="B34" s="6"/>
      <c r="C34" s="6"/>
      <c r="D34" s="6"/>
      <c r="E34" s="6"/>
      <c r="F34" s="6"/>
      <c r="G34" s="6"/>
    </row>
    <row r="35" spans="1:7" x14ac:dyDescent="0.25">
      <c r="A35" s="6"/>
      <c r="B35" s="6"/>
      <c r="C35" s="6"/>
      <c r="D35" s="6"/>
      <c r="E35" s="6"/>
      <c r="F35" s="6"/>
      <c r="G35" s="6"/>
    </row>
    <row r="36" spans="1:7" x14ac:dyDescent="0.25">
      <c r="A36" s="6"/>
      <c r="B36" s="6"/>
      <c r="C36" s="6"/>
      <c r="D36" s="6"/>
      <c r="E36" s="6"/>
      <c r="F36" s="6"/>
      <c r="G36" s="6"/>
    </row>
    <row r="37" spans="1:7" x14ac:dyDescent="0.25">
      <c r="A37" s="6"/>
      <c r="B37" s="6"/>
      <c r="C37" s="6"/>
      <c r="D37" s="6"/>
      <c r="E37" s="6"/>
      <c r="F37" s="6"/>
      <c r="G37" s="6"/>
    </row>
    <row r="38" spans="1:7" x14ac:dyDescent="0.25">
      <c r="A38" s="6"/>
      <c r="B38" s="6"/>
      <c r="C38" s="6"/>
      <c r="D38" s="6"/>
      <c r="E38" s="6"/>
      <c r="F38" s="6"/>
      <c r="G38" s="6"/>
    </row>
  </sheetData>
  <sheetProtection algorithmName="SHA-512" hashValue="4DOTYaMlzBJaWmlOWUzdtmxEYCoDR5QUAlluISS7rarZiQZII8cIy6CQS/LYKoEd9zbQ5HjnjVkgAJlqKqIOmA==" saltValue="k7C9WTvEf0T/YlX47YKX5Q==" spinCount="100000" sheet="1" selectLockedCells="1"/>
  <mergeCells count="18">
    <mergeCell ref="B3:L3"/>
    <mergeCell ref="B5:L5"/>
    <mergeCell ref="B9:L9"/>
    <mergeCell ref="H16:K16"/>
    <mergeCell ref="A1:L1"/>
    <mergeCell ref="A2:L2"/>
    <mergeCell ref="B7:L7"/>
    <mergeCell ref="B26:L26"/>
    <mergeCell ref="B27:L27"/>
    <mergeCell ref="B15:E15"/>
    <mergeCell ref="C16:D16"/>
    <mergeCell ref="C17:E17"/>
    <mergeCell ref="G15:I15"/>
    <mergeCell ref="C19:F19"/>
    <mergeCell ref="C22:D22"/>
    <mergeCell ref="C21:D21"/>
    <mergeCell ref="C20:E20"/>
    <mergeCell ref="B25:L25"/>
  </mergeCells>
  <pageMargins left="0.25" right="0.25" top="0.75" bottom="0.75" header="0.3" footer="0.3"/>
  <pageSetup scale="84" orientation="portrait" r:id="rId1"/>
  <headerFooter>
    <oddHeader>&amp;L&amp;G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55"/>
  <sheetViews>
    <sheetView showGridLines="0" view="pageLayout" zoomScale="75" zoomScaleNormal="100" zoomScalePageLayoutView="75" workbookViewId="0">
      <selection activeCell="D1" sqref="D1:L1"/>
    </sheetView>
  </sheetViews>
  <sheetFormatPr defaultColWidth="5.5703125" defaultRowHeight="15" x14ac:dyDescent="0.25"/>
  <cols>
    <col min="1" max="1" width="10.5703125" customWidth="1"/>
    <col min="2" max="4" width="7.140625" customWidth="1"/>
    <col min="5" max="5" width="6.85546875" customWidth="1"/>
    <col min="6" max="7" width="7.140625" customWidth="1"/>
    <col min="8" max="8" width="8.42578125" bestFit="1" customWidth="1"/>
    <col min="9" max="29" width="7.140625" customWidth="1"/>
    <col min="30" max="30" width="10.5703125" customWidth="1"/>
  </cols>
  <sheetData>
    <row r="1" spans="1:34" ht="39" customHeight="1" x14ac:dyDescent="0.3">
      <c r="A1" s="32"/>
      <c r="B1" s="276" t="s">
        <v>204</v>
      </c>
      <c r="C1" s="276"/>
      <c r="D1" s="275"/>
      <c r="E1" s="275"/>
      <c r="F1" s="275"/>
      <c r="G1" s="275"/>
      <c r="H1" s="275"/>
      <c r="I1" s="275"/>
      <c r="J1" s="275"/>
      <c r="K1" s="275"/>
      <c r="L1" s="275"/>
      <c r="M1" s="283" t="s">
        <v>210</v>
      </c>
      <c r="N1" s="283"/>
      <c r="O1" s="283"/>
      <c r="P1" s="275"/>
      <c r="Q1" s="275"/>
      <c r="R1" s="275"/>
      <c r="S1" s="275"/>
      <c r="T1" s="275"/>
      <c r="U1" s="62" t="e">
        <f>VLOOKUP(S1,Sheet1!A2:B186,2,FALSE)</f>
        <v>#N/A</v>
      </c>
      <c r="V1" s="276" t="s">
        <v>53</v>
      </c>
      <c r="W1" s="276"/>
      <c r="X1" s="251"/>
      <c r="Y1" s="251"/>
      <c r="Z1" s="11"/>
      <c r="AA1" s="253" t="s">
        <v>78</v>
      </c>
      <c r="AB1" s="253"/>
      <c r="AC1" s="238" t="s">
        <v>74</v>
      </c>
      <c r="AD1" s="238"/>
      <c r="AE1" s="40"/>
      <c r="AF1" s="40"/>
    </row>
    <row r="2" spans="1:34" ht="34.5" customHeight="1" x14ac:dyDescent="0.3">
      <c r="A2" s="32"/>
      <c r="B2" s="276" t="s">
        <v>205</v>
      </c>
      <c r="C2" s="276"/>
      <c r="D2" s="277"/>
      <c r="E2" s="277"/>
      <c r="F2" s="277"/>
      <c r="G2" s="277"/>
      <c r="H2" s="277"/>
      <c r="I2" s="277"/>
      <c r="J2" s="278" t="s">
        <v>181</v>
      </c>
      <c r="K2" s="278"/>
      <c r="L2" s="36"/>
      <c r="M2" s="254" t="s">
        <v>206</v>
      </c>
      <c r="N2" s="254"/>
      <c r="O2" s="277"/>
      <c r="P2" s="277"/>
      <c r="Q2" s="277"/>
      <c r="R2" s="277"/>
      <c r="S2" s="277"/>
      <c r="T2" s="277"/>
      <c r="U2" s="279" t="s">
        <v>207</v>
      </c>
      <c r="V2" s="279"/>
      <c r="W2" s="279"/>
      <c r="X2" s="250" t="e">
        <f>ROUNDUP(SUM(HLOOKUP(X1,Calendars!$R$1:$Y$2,2,FALSE)*L2),1)</f>
        <v>#N/A</v>
      </c>
      <c r="Y2" s="250"/>
      <c r="Z2" s="11"/>
      <c r="AA2" s="11"/>
      <c r="AB2" s="11"/>
      <c r="AD2" s="11"/>
      <c r="AE2" s="40"/>
      <c r="AF2" s="40"/>
    </row>
    <row r="3" spans="1:34" ht="15.75" x14ac:dyDescent="0.25">
      <c r="A3" s="28"/>
      <c r="B3" s="28"/>
      <c r="C3" s="28"/>
      <c r="D3" s="28"/>
      <c r="E3" s="28"/>
      <c r="F3" s="28"/>
      <c r="G3" s="28"/>
      <c r="H3" s="34"/>
      <c r="I3" s="28"/>
      <c r="J3" s="28"/>
      <c r="K3" s="28"/>
      <c r="L3" s="28"/>
      <c r="M3" s="28"/>
      <c r="N3" s="28"/>
      <c r="O3" s="28"/>
      <c r="P3" s="28"/>
      <c r="Q3" s="28"/>
      <c r="R3" s="28"/>
      <c r="S3" s="28"/>
      <c r="T3" s="28"/>
      <c r="U3" s="28"/>
      <c r="V3" s="28"/>
      <c r="W3" s="28"/>
      <c r="X3" s="28"/>
      <c r="Y3" s="28"/>
      <c r="Z3" s="11"/>
      <c r="AA3" s="11"/>
      <c r="AB3" s="11"/>
      <c r="AC3" s="11"/>
      <c r="AD3" s="11"/>
      <c r="AE3" s="40"/>
      <c r="AF3" s="40"/>
    </row>
    <row r="4" spans="1:34" ht="15.75" thickBot="1" x14ac:dyDescent="0.3">
      <c r="A4" s="29"/>
      <c r="B4" s="29"/>
      <c r="C4" s="29" t="s">
        <v>0</v>
      </c>
      <c r="D4" s="29" t="s">
        <v>1</v>
      </c>
      <c r="E4" s="29" t="s">
        <v>2</v>
      </c>
      <c r="F4" s="29" t="s">
        <v>3</v>
      </c>
      <c r="G4" s="29" t="s">
        <v>4</v>
      </c>
      <c r="H4" s="29"/>
      <c r="I4" s="29"/>
      <c r="J4" s="29" t="s">
        <v>0</v>
      </c>
      <c r="K4" s="29" t="s">
        <v>1</v>
      </c>
      <c r="L4" s="29" t="s">
        <v>2</v>
      </c>
      <c r="M4" s="29" t="s">
        <v>3</v>
      </c>
      <c r="N4" s="29" t="s">
        <v>4</v>
      </c>
      <c r="O4" s="29"/>
      <c r="P4" s="29"/>
      <c r="Q4" s="29" t="s">
        <v>0</v>
      </c>
      <c r="R4" s="29" t="s">
        <v>1</v>
      </c>
      <c r="S4" s="29" t="s">
        <v>2</v>
      </c>
      <c r="T4" s="29" t="s">
        <v>3</v>
      </c>
      <c r="U4" s="29" t="s">
        <v>4</v>
      </c>
      <c r="V4" s="29"/>
      <c r="W4" s="29"/>
      <c r="X4" s="29" t="s">
        <v>0</v>
      </c>
      <c r="Y4" s="29" t="s">
        <v>1</v>
      </c>
      <c r="Z4" s="29" t="s">
        <v>2</v>
      </c>
      <c r="AA4" s="29" t="s">
        <v>3</v>
      </c>
      <c r="AB4" s="29" t="s">
        <v>4</v>
      </c>
      <c r="AC4" s="16"/>
      <c r="AD4" s="11"/>
      <c r="AE4" s="40"/>
      <c r="AF4" s="40"/>
    </row>
    <row r="5" spans="1:34" ht="15" customHeight="1" x14ac:dyDescent="0.25">
      <c r="A5" s="24"/>
      <c r="B5" s="280" t="s">
        <v>5</v>
      </c>
      <c r="C5" s="164"/>
      <c r="D5" s="165"/>
      <c r="E5" s="165"/>
      <c r="F5" s="165"/>
      <c r="G5" s="166"/>
      <c r="H5" s="27"/>
      <c r="I5" s="255" t="s">
        <v>6</v>
      </c>
      <c r="J5" s="164"/>
      <c r="K5" s="165"/>
      <c r="L5" s="165"/>
      <c r="M5" s="165"/>
      <c r="N5" s="166"/>
      <c r="O5" s="25"/>
      <c r="P5" s="261" t="s">
        <v>7</v>
      </c>
      <c r="Q5" s="164"/>
      <c r="R5" s="165"/>
      <c r="S5" s="165"/>
      <c r="T5" s="165"/>
      <c r="U5" s="166"/>
      <c r="V5" s="25"/>
      <c r="W5" s="239" t="s">
        <v>8</v>
      </c>
      <c r="X5" s="164"/>
      <c r="Y5" s="165"/>
      <c r="Z5" s="165"/>
      <c r="AA5" s="165"/>
      <c r="AB5" s="166"/>
      <c r="AC5" s="33"/>
      <c r="AD5" s="11"/>
      <c r="AE5" s="40"/>
      <c r="AF5" s="40"/>
    </row>
    <row r="6" spans="1:34" x14ac:dyDescent="0.25">
      <c r="A6" s="16"/>
      <c r="B6" s="281"/>
      <c r="C6" s="88" t="str">
        <f>IF(AND(YEAR(July1OffSet+2)=BegCalYear,MONTH(July1OffSet+2)=7),July1OffSet+2,"")</f>
        <v/>
      </c>
      <c r="D6" s="174" t="str">
        <f>IF(AND(YEAR(July1OffSet+3)=BegCalYear,MONTH(July1OffSet+3)=7),July1OffSet+3,"")</f>
        <v/>
      </c>
      <c r="E6" s="174">
        <f>IF(AND(YEAR(July1OffSet+4)=BegCalYear,MONTH(July1OffSet+4)=7),July1OffSet+4,"")</f>
        <v>46204</v>
      </c>
      <c r="F6" s="174">
        <f>IF(AND(YEAR(July1OffSet+5)=BegCalYear,MONTH(July1OffSet+5)=7),July1OffSet+5,"")</f>
        <v>46205</v>
      </c>
      <c r="G6" s="173">
        <f>IF(AND(YEAR(July1OffSet+6)=BegCalYear,MONTH(July1OffSet+6)=7),July1OffSet+6,"")</f>
        <v>46206</v>
      </c>
      <c r="H6" s="76"/>
      <c r="I6" s="256"/>
      <c r="J6" s="88" t="str">
        <f>IF(AND(YEAR(OctOffSet+2)=BegCalYear,MONTH(OctOffSet+2)=10),OctOffSet+2,"")</f>
        <v/>
      </c>
      <c r="K6" s="174" t="str">
        <f>IF(AND(YEAR(OctOffSet+3)=BegCalYear,MONTH(OctOffSet+3)=10),OctOffSet+3,"")</f>
        <v/>
      </c>
      <c r="L6" s="174" t="str">
        <f>IF(AND(YEAR(OctOffSet+4)=BegCalYear,MONTH(OctOffSet+4)=10),OctOffSet+4,"")</f>
        <v/>
      </c>
      <c r="M6" s="174">
        <f>IF(AND(YEAR(OctOffSet+5)=BegCalYear,MONTH(OctOffSet+5)=10),OctOffSet+5,"")</f>
        <v>46296</v>
      </c>
      <c r="N6" s="173">
        <f>IF(AND(YEAR(OctOffSet+6)=BegCalYear,MONTH(OctOffSet+6)=10),OctOffSet+6,"")</f>
        <v>46297</v>
      </c>
      <c r="O6" s="25"/>
      <c r="P6" s="262"/>
      <c r="Q6" s="88" t="str">
        <f>IF(AND(YEAR(JanOffSet+2)=CalendarYear,MONTH(JanOffSet+2)=1),JanOffSet+2,"")</f>
        <v/>
      </c>
      <c r="R6" s="174" t="str">
        <f>IF(AND(YEAR(JanOffSet+3)=CalendarYear,MONTH(JanOffSet+3)=1),JanOffSet+3,"")</f>
        <v/>
      </c>
      <c r="S6" s="174" t="str">
        <f>IF(AND(YEAR(JanOffSet+4)=CalendarYear,MONTH(JanOffSet+4)=1),JanOffSet+4,"")</f>
        <v/>
      </c>
      <c r="T6" s="174" t="str">
        <f>IF(AND(YEAR(JanOffSet+5)=CalendarYear,MONTH(JanOffSet+5)=1),JanOffSet+5,"")</f>
        <v/>
      </c>
      <c r="U6" s="173">
        <f>IF(AND(YEAR(JanOffSet+6)=CalendarYear,MONTH(JanOffSet+6)=1),JanOffSet+6,"")</f>
        <v>46388</v>
      </c>
      <c r="V6" s="25"/>
      <c r="W6" s="240"/>
      <c r="X6" s="88" t="str">
        <f>IF(AND(YEAR(AprOffSet+2)=CalendarYear,MONTH(AprOffSet+2)=4),AprOffSet+2,"")</f>
        <v/>
      </c>
      <c r="Y6" s="174" t="str">
        <f>IF(AND(YEAR(AprOffSet+3)=CalendarYear,MONTH(AprOffSet+3)=4),AprOffSet+3,"")</f>
        <v/>
      </c>
      <c r="Z6" s="174" t="str">
        <f>IF(AND(YEAR(AprOffSet+4)=CalendarYear,MONTH(AprOffSet+4)=4),AprOffSet+4,"")</f>
        <v/>
      </c>
      <c r="AA6" s="174">
        <f>IF(AND(YEAR(AprOffSet+5)=CalendarYear,MONTH(AprOffSet+5)=4),AprOffSet+5,"")</f>
        <v>46478</v>
      </c>
      <c r="AB6" s="173">
        <f>IF(AND(YEAR(AprOffSet+6)=CalendarYear,MONTH(AprOffSet+6)=4),AprOffSet+6,"")</f>
        <v>46479</v>
      </c>
      <c r="AC6" s="33"/>
      <c r="AD6" s="11"/>
      <c r="AE6" s="40"/>
      <c r="AF6" s="40"/>
    </row>
    <row r="7" spans="1:34" x14ac:dyDescent="0.25">
      <c r="A7" s="25"/>
      <c r="B7" s="281"/>
      <c r="C7" s="167"/>
      <c r="D7" s="168"/>
      <c r="E7" s="168"/>
      <c r="F7" s="168"/>
      <c r="G7" s="169"/>
      <c r="H7" s="76"/>
      <c r="I7" s="256"/>
      <c r="J7" s="167"/>
      <c r="K7" s="168"/>
      <c r="L7" s="168"/>
      <c r="M7" s="168"/>
      <c r="N7" s="169"/>
      <c r="O7" s="25"/>
      <c r="P7" s="262"/>
      <c r="Q7" s="167"/>
      <c r="R7" s="168"/>
      <c r="S7" s="168"/>
      <c r="T7" s="168"/>
      <c r="U7" s="169"/>
      <c r="V7" s="25"/>
      <c r="W7" s="240"/>
      <c r="X7" s="167"/>
      <c r="Y7" s="168"/>
      <c r="Z7" s="168"/>
      <c r="AA7" s="168"/>
      <c r="AB7" s="169"/>
      <c r="AC7" s="33"/>
      <c r="AD7" s="11"/>
      <c r="AE7" s="40"/>
      <c r="AF7" s="40"/>
    </row>
    <row r="8" spans="1:34" x14ac:dyDescent="0.25">
      <c r="A8" s="25"/>
      <c r="B8" s="281"/>
      <c r="C8" s="88">
        <f>IF(AND(YEAR(July1OffSet+9)=BegCalYear,MONTH(July1OffSet+9)=7),July1OffSet+9,"")</f>
        <v>46209</v>
      </c>
      <c r="D8" s="174">
        <f>IF(AND(YEAR(July1OffSet+10)=BegCalYear,MONTH(July1OffSet+10)=7),July1OffSet+10,"")</f>
        <v>46210</v>
      </c>
      <c r="E8" s="174">
        <f>IF(AND(YEAR(July1OffSet+11)=BegCalYear,MONTH(July1OffSet+11)=7),July1OffSet+11,"")</f>
        <v>46211</v>
      </c>
      <c r="F8" s="174">
        <f>IF(AND(YEAR(July1OffSet+12)=BegCalYear,MONTH(July1OffSet+12)=7),July1OffSet+12,"")</f>
        <v>46212</v>
      </c>
      <c r="G8" s="173">
        <f>IF(AND(YEAR(July1OffSet+13)=BegCalYear,MONTH(July1OffSet+13)=7),July1OffSet+13,"")</f>
        <v>46213</v>
      </c>
      <c r="H8" s="76"/>
      <c r="I8" s="256"/>
      <c r="J8" s="88">
        <f>IF(AND(YEAR(OctOffSet+9)=BegCalYear,MONTH(OctOffSet+9)=10),OctOffSet+9,"")</f>
        <v>46300</v>
      </c>
      <c r="K8" s="174">
        <f>IF(AND(YEAR(OctOffSet+10)=BegCalYear,MONTH(OctOffSet+10)=10),OctOffSet+10,"")</f>
        <v>46301</v>
      </c>
      <c r="L8" s="174">
        <f>IF(AND(YEAR(OctOffSet+11)=BegCalYear,MONTH(OctOffSet+11)=10),OctOffSet+11,"")</f>
        <v>46302</v>
      </c>
      <c r="M8" s="174">
        <f>IF(AND(YEAR(OctOffSet+12)=BegCalYear,MONTH(OctOffSet+12)=10),OctOffSet+12,"")</f>
        <v>46303</v>
      </c>
      <c r="N8" s="173">
        <f>IF(AND(YEAR(OctOffSet+13)=BegCalYear,MONTH(OctOffSet+13)=10),OctOffSet+13,"")</f>
        <v>46304</v>
      </c>
      <c r="O8" s="25"/>
      <c r="P8" s="262"/>
      <c r="Q8" s="88">
        <f>IF(AND(YEAR(JanOffSet+9)=CalendarYear,MONTH(JanOffSet+9)=1),JanOffSet+9,"")</f>
        <v>46391</v>
      </c>
      <c r="R8" s="174">
        <f>IF(AND(YEAR(JanOffSet+10)=CalendarYear,MONTH(JanOffSet+10)=1),JanOffSet+10,"")</f>
        <v>46392</v>
      </c>
      <c r="S8" s="174">
        <f>IF(AND(YEAR(JanOffSet+11)=CalendarYear,MONTH(JanOffSet+11)=1),JanOffSet+11,"")</f>
        <v>46393</v>
      </c>
      <c r="T8" s="174">
        <f>IF(AND(YEAR(JanOffSet+12)=CalendarYear,MONTH(JanOffSet+12)=1),JanOffSet+12,"")</f>
        <v>46394</v>
      </c>
      <c r="U8" s="173">
        <f>IF(AND(YEAR(JanOffSet+13)=CalendarYear,MONTH(JanOffSet+13)=1),JanOffSet+13,"")</f>
        <v>46395</v>
      </c>
      <c r="V8" s="25"/>
      <c r="W8" s="240"/>
      <c r="X8" s="88">
        <f>IF(AND(YEAR(AprOffSet+9)=CalendarYear,MONTH(AprOffSet+9)=4),AprOffSet+9,"")</f>
        <v>46482</v>
      </c>
      <c r="Y8" s="174">
        <f>IF(AND(YEAR(AprOffSet+10)=CalendarYear,MONTH(AprOffSet+10)=4),AprOffSet+10,"")</f>
        <v>46483</v>
      </c>
      <c r="Z8" s="174">
        <f>IF(AND(YEAR(AprOffSet+11)=CalendarYear,MONTH(AprOffSet+11)=4),AprOffSet+11,"")</f>
        <v>46484</v>
      </c>
      <c r="AA8" s="174">
        <f>IF(AND(YEAR(AprOffSet+12)=CalendarYear,MONTH(AprOffSet+12)=4),AprOffSet+12,"")</f>
        <v>46485</v>
      </c>
      <c r="AB8" s="173">
        <f>IF(AND(YEAR(AprOffSet+13)=CalendarYear,MONTH(AprOffSet+13)=4),AprOffSet+13,"")</f>
        <v>46486</v>
      </c>
      <c r="AC8" s="33"/>
      <c r="AD8" s="11"/>
      <c r="AE8" s="90"/>
      <c r="AF8" s="90"/>
      <c r="AG8" s="1"/>
      <c r="AH8" s="1"/>
    </row>
    <row r="9" spans="1:34" ht="15" customHeight="1" x14ac:dyDescent="0.25">
      <c r="A9" s="24"/>
      <c r="B9" s="281"/>
      <c r="C9" s="167"/>
      <c r="D9" s="168"/>
      <c r="E9" s="168"/>
      <c r="F9" s="168"/>
      <c r="G9" s="169"/>
      <c r="H9" s="76"/>
      <c r="I9" s="256"/>
      <c r="J9" s="167"/>
      <c r="K9" s="168"/>
      <c r="L9" s="168"/>
      <c r="M9" s="168"/>
      <c r="N9" s="169"/>
      <c r="O9" s="27"/>
      <c r="P9" s="262"/>
      <c r="Q9" s="167"/>
      <c r="R9" s="168"/>
      <c r="S9" s="168"/>
      <c r="T9" s="168"/>
      <c r="U9" s="169"/>
      <c r="V9" s="25"/>
      <c r="W9" s="240"/>
      <c r="X9" s="167"/>
      <c r="Y9" s="168"/>
      <c r="Z9" s="168"/>
      <c r="AA9" s="168"/>
      <c r="AB9" s="169"/>
      <c r="AC9" s="33"/>
      <c r="AD9" s="11"/>
      <c r="AE9" s="40"/>
      <c r="AF9" s="40"/>
    </row>
    <row r="10" spans="1:34" x14ac:dyDescent="0.25">
      <c r="A10" s="18"/>
      <c r="B10" s="281"/>
      <c r="C10" s="88">
        <f>IF(AND(YEAR(July1OffSet+16)=BegCalYear,MONTH(July1OffSet+16)=7),July1OffSet+16,"")</f>
        <v>46216</v>
      </c>
      <c r="D10" s="174">
        <f>IF(AND(YEAR(July1OffSet+17)=BegCalYear,MONTH(July1OffSet+17)=7),July1OffSet+17,"")</f>
        <v>46217</v>
      </c>
      <c r="E10" s="174">
        <f>IF(AND(YEAR(July1OffSet+18)=BegCalYear,MONTH(July1OffSet+18)=7),July1OffSet+18,"")</f>
        <v>46218</v>
      </c>
      <c r="F10" s="174">
        <f>IF(AND(YEAR(July1OffSet+19)=BegCalYear,MONTH(July1OffSet+19)=7),July1OffSet+19,"")</f>
        <v>46219</v>
      </c>
      <c r="G10" s="173">
        <f>IF(AND(YEAR(July1OffSet+20)=BegCalYear,MONTH(July1OffSet+20)=7),July1OffSet+20,"")</f>
        <v>46220</v>
      </c>
      <c r="H10" s="76"/>
      <c r="I10" s="256"/>
      <c r="J10" s="88">
        <f>IF(AND(YEAR(OctOffSet+16)=BegCalYear,MONTH(OctOffSet+16)=10),OctOffSet+16,"")</f>
        <v>46307</v>
      </c>
      <c r="K10" s="174">
        <f>IF(AND(YEAR(OctOffSet+17)=BegCalYear,MONTH(OctOffSet+17)=10),OctOffSet+17,"")</f>
        <v>46308</v>
      </c>
      <c r="L10" s="174">
        <f>IF(AND(YEAR(OctOffSet+18)=BegCalYear,MONTH(OctOffSet+18)=10),OctOffSet+18,"")</f>
        <v>46309</v>
      </c>
      <c r="M10" s="174">
        <f>IF(AND(YEAR(OctOffSet+19)=BegCalYear,MONTH(OctOffSet+19)=10),OctOffSet+19,"")</f>
        <v>46310</v>
      </c>
      <c r="N10" s="173">
        <f>IF(AND(YEAR(OctOffSet+20)=BegCalYear,MONTH(OctOffSet+20)=10),OctOffSet+20,"")</f>
        <v>46311</v>
      </c>
      <c r="O10" s="25"/>
      <c r="P10" s="262"/>
      <c r="Q10" s="88">
        <f>IF(AND(YEAR(JanOffSet+16)=CalendarYear,MONTH(JanOffSet+16)=1),JanOffSet+16,"")</f>
        <v>46398</v>
      </c>
      <c r="R10" s="174">
        <f>IF(AND(YEAR(JanOffSet+17)=CalendarYear,MONTH(JanOffSet+17)=1),JanOffSet+17,"")</f>
        <v>46399</v>
      </c>
      <c r="S10" s="174">
        <f>IF(AND(YEAR(JanOffSet+18)=CalendarYear,MONTH(JanOffSet+18)=1),JanOffSet+18,"")</f>
        <v>46400</v>
      </c>
      <c r="T10" s="174">
        <f>IF(AND(YEAR(JanOffSet+19)=CalendarYear,MONTH(JanOffSet+19)=1),JanOffSet+19,"")</f>
        <v>46401</v>
      </c>
      <c r="U10" s="173">
        <f>IF(AND(YEAR(JanOffSet+20)=CalendarYear,MONTH(JanOffSet+20)=1),JanOffSet+20,"")</f>
        <v>46402</v>
      </c>
      <c r="V10" s="25"/>
      <c r="W10" s="240"/>
      <c r="X10" s="88">
        <f>IF(AND(YEAR(AprOffSet+16)=CalendarYear,MONTH(AprOffSet+16)=4),AprOffSet+16,"")</f>
        <v>46489</v>
      </c>
      <c r="Y10" s="174">
        <f>IF(AND(YEAR(AprOffSet+17)=CalendarYear,MONTH(AprOffSet+17)=4),AprOffSet+17,"")</f>
        <v>46490</v>
      </c>
      <c r="Z10" s="174">
        <f>IF(AND(YEAR(AprOffSet+18)=CalendarYear,MONTH(AprOffSet+18)=4),AprOffSet+18,"")</f>
        <v>46491</v>
      </c>
      <c r="AA10" s="174">
        <f>IF(AND(YEAR(AprOffSet+19)=CalendarYear,MONTH(AprOffSet+19)=4),AprOffSet+19,"")</f>
        <v>46492</v>
      </c>
      <c r="AB10" s="173">
        <f>IF(AND(YEAR(AprOffSet+20)=CalendarYear,MONTH(AprOffSet+20)=4),AprOffSet+20,"")</f>
        <v>46493</v>
      </c>
      <c r="AC10" s="33"/>
      <c r="AD10" s="11"/>
      <c r="AE10" s="40"/>
      <c r="AF10" s="40"/>
    </row>
    <row r="11" spans="1:34" x14ac:dyDescent="0.25">
      <c r="A11" s="18"/>
      <c r="B11" s="281"/>
      <c r="C11" s="167"/>
      <c r="D11" s="168"/>
      <c r="E11" s="168"/>
      <c r="F11" s="168"/>
      <c r="G11" s="169"/>
      <c r="H11" s="25" t="s">
        <v>9</v>
      </c>
      <c r="I11" s="256"/>
      <c r="J11" s="167"/>
      <c r="K11" s="168"/>
      <c r="L11" s="168"/>
      <c r="M11" s="168"/>
      <c r="N11" s="169"/>
      <c r="O11" s="25" t="s">
        <v>10</v>
      </c>
      <c r="P11" s="262"/>
      <c r="Q11" s="167"/>
      <c r="R11" s="168"/>
      <c r="S11" s="168"/>
      <c r="T11" s="168"/>
      <c r="U11" s="169"/>
      <c r="V11" s="77" t="s">
        <v>11</v>
      </c>
      <c r="W11" s="240"/>
      <c r="X11" s="167"/>
      <c r="Y11" s="168"/>
      <c r="Z11" s="168"/>
      <c r="AA11" s="168"/>
      <c r="AB11" s="169"/>
      <c r="AC11" s="77" t="s">
        <v>12</v>
      </c>
      <c r="AD11" s="11"/>
      <c r="AE11" s="40"/>
      <c r="AF11" s="40"/>
    </row>
    <row r="12" spans="1:34" x14ac:dyDescent="0.25">
      <c r="A12" s="18"/>
      <c r="B12" s="281"/>
      <c r="C12" s="88">
        <f>IF(AND(YEAR(July1OffSet+23)=BegCalYear,MONTH(July1OffSet+23)=7),July1OffSet+23,"")</f>
        <v>46223</v>
      </c>
      <c r="D12" s="174">
        <f>IF(AND(YEAR(July1OffSet+24)=BegCalYear,MONTH(July1OffSet+24)=7),July1OffSet+24,"")</f>
        <v>46224</v>
      </c>
      <c r="E12" s="174">
        <f>IF(AND(YEAR(July1OffSet+25)=BegCalYear,MONTH(July1OffSet+25)=7),July1OffSet+25,"")</f>
        <v>46225</v>
      </c>
      <c r="F12" s="174">
        <f>IF(AND(YEAR(July1OffSet+26)=BegCalYear,MONTH(July1OffSet+26)=7),July1OffSet+26,"")</f>
        <v>46226</v>
      </c>
      <c r="G12" s="173">
        <f>IF(AND(YEAR(July1OffSet+27)=BegCalYear,MONTH(July1OffSet+27)=7),July1OffSet+27,"")</f>
        <v>46227</v>
      </c>
      <c r="H12" s="25" t="s">
        <v>13</v>
      </c>
      <c r="I12" s="256"/>
      <c r="J12" s="88">
        <f>IF(AND(YEAR(OctOffSet+23)=BegCalYear,MONTH(OctOffSet+23)=10),OctOffSet+23,"")</f>
        <v>46314</v>
      </c>
      <c r="K12" s="174">
        <f>IF(AND(YEAR(OctOffSet+24)=BegCalYear,MONTH(OctOffSet+24)=10),OctOffSet+24,"")</f>
        <v>46315</v>
      </c>
      <c r="L12" s="174">
        <f>IF(AND(YEAR(OctOffSet+25)=BegCalYear,MONTH(OctOffSet+25)=10),OctOffSet+25,"")</f>
        <v>46316</v>
      </c>
      <c r="M12" s="174">
        <f>IF(AND(YEAR(OctOffSet+26)=BegCalYear,MONTH(OctOffSet+26)=10),OctOffSet+26,"")</f>
        <v>46317</v>
      </c>
      <c r="N12" s="173">
        <f>IF(AND(YEAR(OctOffSet+27)=BegCalYear,MONTH(OctOffSet+27)=10),OctOffSet+27,"")</f>
        <v>46318</v>
      </c>
      <c r="O12" s="25" t="s">
        <v>13</v>
      </c>
      <c r="P12" s="262"/>
      <c r="Q12" s="88">
        <f>IF(AND(YEAR(JanOffSet+23)=CalendarYear,MONTH(JanOffSet+23)=1),JanOffSet+23,"")</f>
        <v>46405</v>
      </c>
      <c r="R12" s="174">
        <f>IF(AND(YEAR(JanOffSet+24)=CalendarYear,MONTH(JanOffSet+24)=1),JanOffSet+24,"")</f>
        <v>46406</v>
      </c>
      <c r="S12" s="174">
        <f>IF(AND(YEAR(JanOffSet+25)=CalendarYear,MONTH(JanOffSet+25)=1),JanOffSet+25,"")</f>
        <v>46407</v>
      </c>
      <c r="T12" s="174">
        <f>IF(AND(YEAR(JanOffSet+26)=CalendarYear,MONTH(JanOffSet+26)=1),JanOffSet+26,"")</f>
        <v>46408</v>
      </c>
      <c r="U12" s="173">
        <f>IF(AND(YEAR(JanOffSet+27)=CalendarYear,MONTH(JanOffSet+27)=1),JanOffSet+27,"")</f>
        <v>46409</v>
      </c>
      <c r="V12" s="25" t="s">
        <v>13</v>
      </c>
      <c r="W12" s="240"/>
      <c r="X12" s="88">
        <f>IF(AND(YEAR(AprOffSet+23)=CalendarYear,MONTH(AprOffSet+23)=4),AprOffSet+23,"")</f>
        <v>46496</v>
      </c>
      <c r="Y12" s="174">
        <f>IF(AND(YEAR(AprOffSet+24)=CalendarYear,MONTH(AprOffSet+24)=4),AprOffSet+24,"")</f>
        <v>46497</v>
      </c>
      <c r="Z12" s="174">
        <f>IF(AND(YEAR(AprOffSet+25)=CalendarYear,MONTH(AprOffSet+25)=4),AprOffSet+25,"")</f>
        <v>46498</v>
      </c>
      <c r="AA12" s="174">
        <f>IF(AND(YEAR(AprOffSet+26)=CalendarYear,MONTH(AprOffSet+26)=4),AprOffSet+26,"")</f>
        <v>46499</v>
      </c>
      <c r="AB12" s="173">
        <f>IF(AND(YEAR(AprOffSet+27)=CalendarYear,MONTH(AprOffSet+27)=4),AprOffSet+27,"")</f>
        <v>46500</v>
      </c>
      <c r="AC12" s="25" t="s">
        <v>13</v>
      </c>
      <c r="AD12" s="11"/>
      <c r="AE12" s="40"/>
      <c r="AF12" s="40"/>
    </row>
    <row r="13" spans="1:34" x14ac:dyDescent="0.25">
      <c r="A13" s="18"/>
      <c r="B13" s="281"/>
      <c r="C13" s="167"/>
      <c r="D13" s="168"/>
      <c r="E13" s="168"/>
      <c r="F13" s="168"/>
      <c r="G13" s="169"/>
      <c r="H13" s="77" t="s">
        <v>14</v>
      </c>
      <c r="I13" s="256"/>
      <c r="J13" s="167"/>
      <c r="K13" s="168"/>
      <c r="L13" s="168"/>
      <c r="M13" s="168"/>
      <c r="N13" s="169"/>
      <c r="O13" s="77" t="s">
        <v>14</v>
      </c>
      <c r="P13" s="262"/>
      <c r="Q13" s="167"/>
      <c r="R13" s="168"/>
      <c r="S13" s="168"/>
      <c r="T13" s="168"/>
      <c r="U13" s="169"/>
      <c r="V13" s="77" t="s">
        <v>14</v>
      </c>
      <c r="W13" s="240"/>
      <c r="X13" s="167"/>
      <c r="Y13" s="168"/>
      <c r="Z13" s="168"/>
      <c r="AA13" s="168"/>
      <c r="AB13" s="169"/>
      <c r="AC13" s="77" t="s">
        <v>14</v>
      </c>
      <c r="AD13" s="11"/>
      <c r="AE13" s="40"/>
      <c r="AF13" s="40"/>
    </row>
    <row r="14" spans="1:34" ht="15.75" thickBot="1" x14ac:dyDescent="0.3">
      <c r="A14" s="18"/>
      <c r="B14" s="282"/>
      <c r="C14" s="89">
        <f>IF(AND(YEAR(July1OffSet+30)=BegCalYear,MONTH(July1OffSet+30)=7),July1OffSet+30,"")</f>
        <v>46230</v>
      </c>
      <c r="D14" s="175">
        <f>IF(AND(YEAR(July1OffSet+31)=BegCalYear,MONTH(July1OffSet+31)=7),July1OffSet+31,"")</f>
        <v>46231</v>
      </c>
      <c r="E14" s="175">
        <f>IF(AND(YEAR(July1OffSet+32)=BegCalYear,MONTH(July1OffSet+32)=7),July1OffSet+32,"")</f>
        <v>46232</v>
      </c>
      <c r="F14" s="175">
        <f>IF(AND(YEAR(July1OffSet+33)=BegCalYear,MONTH(July1OffSet+33)=7),July1OffSet+33,"")</f>
        <v>46233</v>
      </c>
      <c r="G14" s="176">
        <f>IF(AND(YEAR(July1OffSet+34)=BegCalYear,MONTH(July1OffSet+34)=7),July1OffSet+34,"")</f>
        <v>46234</v>
      </c>
      <c r="H14" s="78">
        <f>ROUNDDOWN(SUM(SUM(C5:G5,C7:G7,C9:G9,C11:G11,C13:G13)/8),1)</f>
        <v>0</v>
      </c>
      <c r="I14" s="257"/>
      <c r="J14" s="89">
        <f>IF(AND(YEAR(OctOffSet+30)=BegCalYear,MONTH(OctOffSet+30)=10),OctOffSet+30,"")</f>
        <v>46321</v>
      </c>
      <c r="K14" s="175">
        <f>IF(AND(YEAR(OctOffSet+31)=BegCalYear,MONTH(OctOffSet+31)=10),OctOffSet+31,"")</f>
        <v>46322</v>
      </c>
      <c r="L14" s="175">
        <f>IF(AND(YEAR(OctOffSet+32)=BegCalYear,MONTH(OctOffSet+32)=10),OctOffSet+32,"")</f>
        <v>46323</v>
      </c>
      <c r="M14" s="175">
        <f>IF(AND(YEAR(OctOffSet+33)=BegCalYear,MONTH(OctOffSet+33)=10),OctOffSet+33,"")</f>
        <v>46324</v>
      </c>
      <c r="N14" s="176">
        <f>IF(AND(YEAR(OctOffSet+34)=BegCalYear,MONTH(OctOffSet+34)=10),OctOffSet+34,"")</f>
        <v>46325</v>
      </c>
      <c r="O14" s="78">
        <f>ROUNDDOWN(SUM(SUM(J5:N5,J7:N7,J9:N9,J11:N11,J13:N13)/8),1)</f>
        <v>0</v>
      </c>
      <c r="P14" s="263"/>
      <c r="Q14" s="89">
        <f>IF(AND(YEAR(JanOffSet+30)=CalendarYear,MONTH(JanOffSet+30)=1),JanOffSet+30,"")</f>
        <v>46412</v>
      </c>
      <c r="R14" s="175">
        <f>IF(AND(YEAR(JanOffSet+31)=CalendarYear,MONTH(JanOffSet+31)=1),JanOffSet+31,"")</f>
        <v>46413</v>
      </c>
      <c r="S14" s="175">
        <f>IF(AND(YEAR(JanOffSet+32)=CalendarYear,MONTH(JanOffSet+32)=1),JanOffSet+32,"")</f>
        <v>46414</v>
      </c>
      <c r="T14" s="175">
        <f>IF(AND(YEAR(JanOffSet+33)=CalendarYear,MONTH(JanOffSet+33)=1),JanOffSet+33,"")</f>
        <v>46415</v>
      </c>
      <c r="U14" s="176">
        <f>IF(AND(YEAR(JanOffSet+34)=CalendarYear,MONTH(JanOffSet+34)=1),JanOffSet+34,"")</f>
        <v>46416</v>
      </c>
      <c r="V14" s="78">
        <f>ROUNDDOWN(SUM(SUM(Q5:U5,Q7:U7,Q9:U9,Q11:U11,Q13:U13)/8),1)</f>
        <v>0</v>
      </c>
      <c r="W14" s="252"/>
      <c r="X14" s="89">
        <f>IF(AND(YEAR(AprOffSet+30)=CalendarYear,MONTH(AprOffSet+30)=4),AprOffSet+30,"")</f>
        <v>46503</v>
      </c>
      <c r="Y14" s="175">
        <f>IF(AND(YEAR(AprOffSet+31)=CalendarYear,MONTH(AprOffSet+31)=4),AprOffSet+31,"")</f>
        <v>46504</v>
      </c>
      <c r="Z14" s="175">
        <f>IF(AND(YEAR(AprOffSet+32)=CalendarYear,MONTH(AprOffSet+32)=4),AprOffSet+32,"")</f>
        <v>46505</v>
      </c>
      <c r="AA14" s="175">
        <f>IF(AND(YEAR(AprOffSet+33)=CalendarYear,MONTH(AprOffSet+33)=4),AprOffSet+33,"")</f>
        <v>46506</v>
      </c>
      <c r="AB14" s="176">
        <f>IF(AND(YEAR(AprOffSet+34)=CalendarYear,MONTH(AprOffSet+34)=4),AprOffSet+34,"")</f>
        <v>46507</v>
      </c>
      <c r="AC14" s="78">
        <f>ROUNDDOWN(SUM(SUM(X5:AB5,X7:AB7,X11:AB11,X13:AB13,X9:AB9)/8),1)</f>
        <v>0</v>
      </c>
      <c r="AD14" s="11"/>
      <c r="AE14" s="40"/>
      <c r="AF14" s="40"/>
    </row>
    <row r="15" spans="1:34" ht="15.75" thickBot="1" x14ac:dyDescent="0.3">
      <c r="A15" s="18"/>
      <c r="B15" s="16"/>
      <c r="C15" s="25"/>
      <c r="D15" s="25"/>
      <c r="E15" s="25"/>
      <c r="F15" s="25"/>
      <c r="G15" s="25"/>
      <c r="H15" s="77"/>
      <c r="I15" s="24"/>
      <c r="J15" s="25"/>
      <c r="K15" s="25"/>
      <c r="L15" s="25"/>
      <c r="M15" s="25"/>
      <c r="N15" s="25"/>
      <c r="O15" s="77"/>
      <c r="P15" s="24"/>
      <c r="Q15" s="25"/>
      <c r="R15" s="25"/>
      <c r="S15" s="25"/>
      <c r="T15" s="25"/>
      <c r="U15" s="25"/>
      <c r="V15" s="77"/>
      <c r="W15" s="24"/>
      <c r="X15" s="25"/>
      <c r="Y15" s="25"/>
      <c r="Z15" s="25"/>
      <c r="AA15" s="25"/>
      <c r="AB15" s="25"/>
      <c r="AC15" s="77"/>
      <c r="AD15" s="11"/>
      <c r="AE15" s="40"/>
      <c r="AF15" s="40"/>
    </row>
    <row r="16" spans="1:34" ht="15" customHeight="1" x14ac:dyDescent="0.25">
      <c r="A16" s="18"/>
      <c r="B16" s="258" t="s">
        <v>15</v>
      </c>
      <c r="C16" s="164"/>
      <c r="D16" s="165"/>
      <c r="E16" s="165"/>
      <c r="F16" s="165"/>
      <c r="G16" s="166"/>
      <c r="H16" s="77"/>
      <c r="I16" s="239" t="s">
        <v>16</v>
      </c>
      <c r="J16" s="164"/>
      <c r="K16" s="165"/>
      <c r="L16" s="165"/>
      <c r="M16" s="165"/>
      <c r="N16" s="166"/>
      <c r="O16" s="77"/>
      <c r="P16" s="255" t="s">
        <v>17</v>
      </c>
      <c r="Q16" s="164"/>
      <c r="R16" s="165"/>
      <c r="S16" s="165"/>
      <c r="T16" s="165"/>
      <c r="U16" s="166"/>
      <c r="V16" s="77"/>
      <c r="W16" s="255" t="s">
        <v>18</v>
      </c>
      <c r="X16" s="164"/>
      <c r="Y16" s="165"/>
      <c r="Z16" s="165"/>
      <c r="AA16" s="165"/>
      <c r="AB16" s="166"/>
      <c r="AC16" s="77"/>
      <c r="AD16" s="11"/>
      <c r="AE16" s="40"/>
      <c r="AF16" s="40"/>
    </row>
    <row r="17" spans="1:32" x14ac:dyDescent="0.25">
      <c r="A17" s="18"/>
      <c r="B17" s="259"/>
      <c r="C17" s="88" t="str">
        <f>IF(AND(YEAR(AugOffSet+2)=BegCalYear,MONTH(AugOffSet+2)=8),AugOffSet+2,"")</f>
        <v/>
      </c>
      <c r="D17" s="174" t="str">
        <f>IF(AND(YEAR(AugOffSet+3)=BegCalYear,MONTH(AugOffSet+3)=8),AugOffSet+3,"")</f>
        <v/>
      </c>
      <c r="E17" s="174" t="str">
        <f>IF(AND(YEAR(AugOffSet+4)=BegCalYear,MONTH(AugOffSet+4)=8),AugOffSet+4,"")</f>
        <v/>
      </c>
      <c r="F17" s="174" t="str">
        <f>IF(AND(YEAR(AugOffSet+5)=BegCalYear,MONTH(AugOffSet+5)=8),AugOffSet+5,"")</f>
        <v/>
      </c>
      <c r="G17" s="173" t="str">
        <f>IF(AND(YEAR(AugOffSet+6)=BegCalYear,MONTH(AugOffSet+6)=8),AugOffSet+6,"")</f>
        <v/>
      </c>
      <c r="H17" s="77"/>
      <c r="I17" s="240"/>
      <c r="J17" s="88"/>
      <c r="K17" s="174">
        <f>IF(AND(YEAR(NovOffSet+3)=BegCalYear,MONTH(NovOffSet+3)=11),NovOffSet+3,"")</f>
        <v>46329</v>
      </c>
      <c r="L17" s="174">
        <f>IF(AND(YEAR(NovOffSet+4)=BegCalYear,MONTH(NovOffSet+4)=11),NovOffSet+4,"")</f>
        <v>46330</v>
      </c>
      <c r="M17" s="174">
        <f>IF(AND(YEAR(NovOffSet+5)=BegCalYear,MONTH(NovOffSet+5)=11),NovOffSet+5,"")</f>
        <v>46331</v>
      </c>
      <c r="N17" s="173">
        <f>IF(AND(YEAR(NovOffSet+6)=BegCalYear,MONTH(NovOffSet+6)=11),NovOffSet+6,"")</f>
        <v>46332</v>
      </c>
      <c r="O17" s="77"/>
      <c r="P17" s="256"/>
      <c r="Q17" s="88">
        <f>IF(AND(YEAR(FebOffSet+2)=CalendarYear,MONTH(FebOffSet+2)=2),FebOffSet+2,"")</f>
        <v>46419</v>
      </c>
      <c r="R17" s="174">
        <f>IF(AND(YEAR(FebOffSet+3)=CalendarYear,MONTH(FebOffSet+3)=2),FebOffSet+3,"")</f>
        <v>46420</v>
      </c>
      <c r="S17" s="174">
        <f>IF(AND(YEAR(FebOffSet+4)=CalendarYear,MONTH(FebOffSet+4)=2),FebOffSet+4,"")</f>
        <v>46421</v>
      </c>
      <c r="T17" s="174">
        <f>IF(AND(YEAR(FebOffSet+5)=CalendarYear,MONTH(FebOffSet+5)=2),FebOffSet+5,"")</f>
        <v>46422</v>
      </c>
      <c r="U17" s="173">
        <f>IF(AND(YEAR(FebOffSet+6)=CalendarYear,MONTH(FebOffSet+6)=2),FebOffSet+6,"")</f>
        <v>46423</v>
      </c>
      <c r="V17" s="77"/>
      <c r="W17" s="256"/>
      <c r="X17" s="88" t="str">
        <f>IF(AND(YEAR(MayOffSet+2)=CalendarYear,MONTH(MayOffSet+2)=5),MayOffSet+2,"")</f>
        <v/>
      </c>
      <c r="Y17" s="174" t="str">
        <f>IF(AND(YEAR(MayOffSet+3)=CalendarYear,MONTH(MayOffSet+3)=5),MayOffSet+3,"")</f>
        <v/>
      </c>
      <c r="Z17" s="174" t="str">
        <f>IF(AND(YEAR(MayOffSet+4)=CalendarYear,MONTH(MayOffSet+4)=5),MayOffSet+4,"")</f>
        <v/>
      </c>
      <c r="AA17" s="174" t="str">
        <f>IF(AND(YEAR(MayOffSet+5)=CalendarYear,MONTH(MayOffSet+5)=5),MayOffSet+5,"")</f>
        <v/>
      </c>
      <c r="AB17" s="173" t="str">
        <f>IF(AND(YEAR(MayOffSet+6)=CalendarYear,MONTH(MayOffSet+6)=5),MayOffSet+6,"")</f>
        <v/>
      </c>
      <c r="AC17" s="77"/>
      <c r="AD17" s="11"/>
      <c r="AE17" s="40"/>
      <c r="AF17" s="40"/>
    </row>
    <row r="18" spans="1:32" x14ac:dyDescent="0.25">
      <c r="A18" s="18"/>
      <c r="B18" s="259"/>
      <c r="C18" s="167"/>
      <c r="D18" s="168"/>
      <c r="E18" s="168"/>
      <c r="F18" s="168"/>
      <c r="G18" s="169"/>
      <c r="H18" s="77"/>
      <c r="I18" s="240"/>
      <c r="J18" s="167"/>
      <c r="K18" s="168"/>
      <c r="L18" s="168"/>
      <c r="M18" s="168"/>
      <c r="N18" s="169"/>
      <c r="O18" s="77"/>
      <c r="P18" s="256"/>
      <c r="Q18" s="167"/>
      <c r="R18" s="168"/>
      <c r="S18" s="168"/>
      <c r="T18" s="168"/>
      <c r="U18" s="169"/>
      <c r="V18" s="77"/>
      <c r="W18" s="256"/>
      <c r="X18" s="167"/>
      <c r="Y18" s="168"/>
      <c r="Z18" s="168"/>
      <c r="AA18" s="168"/>
      <c r="AB18" s="169"/>
      <c r="AC18" s="77"/>
      <c r="AD18" s="11"/>
      <c r="AE18" s="40"/>
      <c r="AF18" s="40"/>
    </row>
    <row r="19" spans="1:32" x14ac:dyDescent="0.25">
      <c r="A19" s="18"/>
      <c r="B19" s="259"/>
      <c r="C19" s="88">
        <f>IF(AND(YEAR(AugOffSet+9)=BegCalYear,MONTH(AugOffSet+9)=8),AugOffSet+9,"")</f>
        <v>46237</v>
      </c>
      <c r="D19" s="174">
        <f>IF(AND(YEAR(AugOffSet+10)=BegCalYear,MONTH(AugOffSet+10)=8),AugOffSet+10,"")</f>
        <v>46238</v>
      </c>
      <c r="E19" s="174">
        <f>IF(AND(YEAR(AugOffSet+11)=BegCalYear,MONTH(AugOffSet+11)=8),AugOffSet+11,"")</f>
        <v>46239</v>
      </c>
      <c r="F19" s="174">
        <f>IF(AND(YEAR(AugOffSet+12)=BegCalYear,MONTH(AugOffSet+12)=8),AugOffSet+12,"")</f>
        <v>46240</v>
      </c>
      <c r="G19" s="173">
        <f>IF(AND(YEAR(AugOffSet+13)=BegCalYear,MONTH(AugOffSet+13)=8),AugOffSet+13,"")</f>
        <v>46241</v>
      </c>
      <c r="H19" s="77"/>
      <c r="I19" s="240"/>
      <c r="J19" s="88">
        <f>IF(AND(YEAR(NovOffSet+9)=BegCalYear,MONTH(NovOffSet+9)=11),NovOffSet+9,"")</f>
        <v>46335</v>
      </c>
      <c r="K19" s="174">
        <f>IF(AND(YEAR(NovOffSet+10)=BegCalYear,MONTH(NovOffSet+10)=11),NovOffSet+10,"")</f>
        <v>46336</v>
      </c>
      <c r="L19" s="174">
        <f>IF(AND(YEAR(NovOffSet+11)=BegCalYear,MONTH(NovOffSet+11)=11),NovOffSet+11,"")</f>
        <v>46337</v>
      </c>
      <c r="M19" s="174">
        <f>IF(AND(YEAR(NovOffSet+12)=BegCalYear,MONTH(NovOffSet+12)=11),NovOffSet+12,"")</f>
        <v>46338</v>
      </c>
      <c r="N19" s="173">
        <f>IF(AND(YEAR(NovOffSet+13)=BegCalYear,MONTH(NovOffSet+13)=11),NovOffSet+13,"")</f>
        <v>46339</v>
      </c>
      <c r="O19" s="77"/>
      <c r="P19" s="256"/>
      <c r="Q19" s="88">
        <f>IF(AND(YEAR(FebOffSet+9)=CalendarYear,MONTH(FebOffSet+9)=2),FebOffSet+9,"")</f>
        <v>46426</v>
      </c>
      <c r="R19" s="174">
        <f>IF(AND(YEAR(FebOffSet+10)=CalendarYear,MONTH(FebOffSet+10)=2),FebOffSet+10,"")</f>
        <v>46427</v>
      </c>
      <c r="S19" s="174">
        <f>IF(AND(YEAR(FebOffSet+11)=CalendarYear,MONTH(FebOffSet+11)=2),FebOffSet+11,"")</f>
        <v>46428</v>
      </c>
      <c r="T19" s="174">
        <f>IF(AND(YEAR(FebOffSet+12)=CalendarYear,MONTH(FebOffSet+12)=2),FebOffSet+12,"")</f>
        <v>46429</v>
      </c>
      <c r="U19" s="173">
        <f>IF(AND(YEAR(FebOffSet+13)=CalendarYear,MONTH(FebOffSet+13)=2),FebOffSet+13,"")</f>
        <v>46430</v>
      </c>
      <c r="V19" s="77"/>
      <c r="W19" s="256"/>
      <c r="X19" s="88">
        <f>IF(AND(YEAR(MayOffSet+9)=CalendarYear,MONTH(MayOffSet+9)=5),MayOffSet+9,"")</f>
        <v>46510</v>
      </c>
      <c r="Y19" s="174">
        <f>IF(AND(YEAR(MayOffSet+10)=CalendarYear,MONTH(MayOffSet+10)=5),MayOffSet+10,"")</f>
        <v>46511</v>
      </c>
      <c r="Z19" s="174">
        <f>IF(AND(YEAR(MayOffSet+11)=CalendarYear,MONTH(MayOffSet+11)=5),MayOffSet+11,"")</f>
        <v>46512</v>
      </c>
      <c r="AA19" s="174">
        <f>IF(AND(YEAR(MayOffSet+12)=CalendarYear,MONTH(MayOffSet+12)=5),MayOffSet+12,"")</f>
        <v>46513</v>
      </c>
      <c r="AB19" s="173">
        <f>IF(AND(YEAR(MayOffSet+13)=CalendarYear,MONTH(MayOffSet+13)=5),MayOffSet+13,"")</f>
        <v>46514</v>
      </c>
      <c r="AC19" s="77"/>
      <c r="AD19" s="11"/>
      <c r="AE19" s="40"/>
      <c r="AF19" s="40"/>
    </row>
    <row r="20" spans="1:32" x14ac:dyDescent="0.25">
      <c r="A20" s="18"/>
      <c r="B20" s="259"/>
      <c r="C20" s="167"/>
      <c r="D20" s="168"/>
      <c r="E20" s="168"/>
      <c r="F20" s="168"/>
      <c r="G20" s="169"/>
      <c r="H20" s="77"/>
      <c r="I20" s="240"/>
      <c r="J20" s="167"/>
      <c r="K20" s="168"/>
      <c r="L20" s="168"/>
      <c r="M20" s="168"/>
      <c r="N20" s="169"/>
      <c r="O20" s="77"/>
      <c r="P20" s="256"/>
      <c r="Q20" s="167"/>
      <c r="R20" s="168"/>
      <c r="S20" s="168"/>
      <c r="T20" s="168"/>
      <c r="U20" s="169"/>
      <c r="V20" s="77"/>
      <c r="W20" s="256"/>
      <c r="X20" s="167"/>
      <c r="Y20" s="168"/>
      <c r="Z20" s="168"/>
      <c r="AA20" s="168"/>
      <c r="AB20" s="169"/>
      <c r="AC20" s="77"/>
      <c r="AD20" s="11"/>
      <c r="AE20" s="40"/>
      <c r="AF20" s="40"/>
    </row>
    <row r="21" spans="1:32" x14ac:dyDescent="0.25">
      <c r="A21" s="18"/>
      <c r="B21" s="259"/>
      <c r="C21" s="88">
        <f>IF(AND(YEAR(AugOffSet+16)=BegCalYear,MONTH(AugOffSet+16)=8),AugOffSet+16,"")</f>
        <v>46244</v>
      </c>
      <c r="D21" s="174">
        <f>IF(AND(YEAR(AugOffSet+17)=BegCalYear,MONTH(AugOffSet+17)=8),AugOffSet+17,"")</f>
        <v>46245</v>
      </c>
      <c r="E21" s="174">
        <f>IF(AND(YEAR(AugOffSet+18)=BegCalYear,MONTH(AugOffSet+18)=8),AugOffSet+18,"")</f>
        <v>46246</v>
      </c>
      <c r="F21" s="174">
        <f>IF(AND(YEAR(AugOffSet+19)=BegCalYear,MONTH(AugOffSet+19)=8),AugOffSet+19,"")</f>
        <v>46247</v>
      </c>
      <c r="G21" s="173">
        <f>IF(AND(YEAR(AugOffSet+20)=BegCalYear,MONTH(AugOffSet+20)=8),AugOffSet+20,"")</f>
        <v>46248</v>
      </c>
      <c r="H21" s="77"/>
      <c r="I21" s="240"/>
      <c r="J21" s="88">
        <f>IF(AND(YEAR(NovOffSet+16)=BegCalYear,MONTH(NovOffSet+16)=11),NovOffSet+16,"")</f>
        <v>46342</v>
      </c>
      <c r="K21" s="174">
        <f>IF(AND(YEAR(NovOffSet+17)=BegCalYear,MONTH(NovOffSet+17)=11),NovOffSet+17,"")</f>
        <v>46343</v>
      </c>
      <c r="L21" s="174">
        <f>IF(AND(YEAR(NovOffSet+18)=BegCalYear,MONTH(NovOffSet+18)=11),NovOffSet+18,"")</f>
        <v>46344</v>
      </c>
      <c r="M21" s="174">
        <f>IF(AND(YEAR(NovOffSet+19)=BegCalYear,MONTH(NovOffSet+19)=11),NovOffSet+19,"")</f>
        <v>46345</v>
      </c>
      <c r="N21" s="173">
        <f>IF(AND(YEAR(NovOffSet+20)=BegCalYear,MONTH(NovOffSet+20)=11),NovOffSet+20,"")</f>
        <v>46346</v>
      </c>
      <c r="O21" s="77"/>
      <c r="P21" s="256"/>
      <c r="Q21" s="88">
        <f>IF(AND(YEAR(FebOffSet+16)=CalendarYear,MONTH(FebOffSet+16)=2),FebOffSet+16,"")</f>
        <v>46433</v>
      </c>
      <c r="R21" s="174">
        <f>IF(AND(YEAR(FebOffSet+17)=CalendarYear,MONTH(FebOffSet+17)=2),FebOffSet+17,"")</f>
        <v>46434</v>
      </c>
      <c r="S21" s="174">
        <f>IF(AND(YEAR(FebOffSet+18)=CalendarYear,MONTH(FebOffSet+18)=2),FebOffSet+18,"")</f>
        <v>46435</v>
      </c>
      <c r="T21" s="174">
        <f>IF(AND(YEAR(FebOffSet+19)=CalendarYear,MONTH(FebOffSet+19)=2),FebOffSet+19,"")</f>
        <v>46436</v>
      </c>
      <c r="U21" s="173">
        <f>IF(AND(YEAR(FebOffSet+20)=CalendarYear,MONTH(FebOffSet+20)=2),FebOffSet+20,"")</f>
        <v>46437</v>
      </c>
      <c r="V21" s="77"/>
      <c r="W21" s="256"/>
      <c r="X21" s="88">
        <f>IF(AND(YEAR(MayOffSet+16)=CalendarYear,MONTH(MayOffSet+16)=5),MayOffSet+16,"")</f>
        <v>46517</v>
      </c>
      <c r="Y21" s="174">
        <f>IF(AND(YEAR(MayOffSet+17)=CalendarYear,MONTH(MayOffSet+17)=5),MayOffSet+17,"")</f>
        <v>46518</v>
      </c>
      <c r="Z21" s="174">
        <f>IF(AND(YEAR(MayOffSet+18)=CalendarYear,MONTH(MayOffSet+18)=5),MayOffSet+18,"")</f>
        <v>46519</v>
      </c>
      <c r="AA21" s="174">
        <f>IF(AND(YEAR(MayOffSet+19)=CalendarYear,MONTH(MayOffSet+19)=5),MayOffSet+19,"")</f>
        <v>46520</v>
      </c>
      <c r="AB21" s="173">
        <f>IF(AND(YEAR(MayOffSet+20)=CalendarYear,MONTH(MayOffSet+20)=5),MayOffSet+20,"")</f>
        <v>46521</v>
      </c>
      <c r="AC21" s="77"/>
      <c r="AD21" s="11"/>
      <c r="AE21" s="40"/>
      <c r="AF21" s="40"/>
    </row>
    <row r="22" spans="1:32" x14ac:dyDescent="0.25">
      <c r="A22" s="16"/>
      <c r="B22" s="259"/>
      <c r="C22" s="167"/>
      <c r="D22" s="168"/>
      <c r="E22" s="168"/>
      <c r="F22" s="168"/>
      <c r="G22" s="169"/>
      <c r="H22" s="77" t="s">
        <v>19</v>
      </c>
      <c r="I22" s="240"/>
      <c r="J22" s="167"/>
      <c r="K22" s="168"/>
      <c r="L22" s="168"/>
      <c r="M22" s="168"/>
      <c r="N22" s="169"/>
      <c r="O22" s="77" t="s">
        <v>20</v>
      </c>
      <c r="P22" s="256"/>
      <c r="Q22" s="167"/>
      <c r="R22" s="168"/>
      <c r="S22" s="168"/>
      <c r="T22" s="168"/>
      <c r="U22" s="169"/>
      <c r="V22" s="77" t="s">
        <v>21</v>
      </c>
      <c r="W22" s="256"/>
      <c r="X22" s="167"/>
      <c r="Y22" s="168"/>
      <c r="Z22" s="168"/>
      <c r="AA22" s="168"/>
      <c r="AB22" s="169"/>
      <c r="AC22" s="77" t="s">
        <v>22</v>
      </c>
      <c r="AD22" s="11"/>
      <c r="AE22" s="40"/>
      <c r="AF22" s="40"/>
    </row>
    <row r="23" spans="1:32" x14ac:dyDescent="0.25">
      <c r="A23" s="16"/>
      <c r="B23" s="259"/>
      <c r="C23" s="88">
        <f>IF(AND(YEAR(AugOffSet+23)=BegCalYear,MONTH(AugOffSet+23)=8),AugOffSet+23,"")</f>
        <v>46251</v>
      </c>
      <c r="D23" s="174">
        <f>IF(AND(YEAR(AugOffSet+24)=BegCalYear,MONTH(AugOffSet+24)=8),AugOffSet+24,"")</f>
        <v>46252</v>
      </c>
      <c r="E23" s="174">
        <f>IF(AND(YEAR(AugOffSet+25)=BegCalYear,MONTH(AugOffSet+25)=8),AugOffSet+25,"")</f>
        <v>46253</v>
      </c>
      <c r="F23" s="174">
        <f>IF(AND(YEAR(AugOffSet+26)=BegCalYear,MONTH(AugOffSet+26)=8),AugOffSet+26,"")</f>
        <v>46254</v>
      </c>
      <c r="G23" s="173">
        <f>IF(AND(YEAR(AugOffSet+27)=BegCalYear,MONTH(AugOffSet+27)=8),AugOffSet+27,"")</f>
        <v>46255</v>
      </c>
      <c r="H23" s="25" t="s">
        <v>13</v>
      </c>
      <c r="I23" s="240"/>
      <c r="J23" s="88">
        <f>IF(AND(YEAR(NovOffSet+23)=BegCalYear,MONTH(NovOffSet+23)=11),NovOffSet+23,"")</f>
        <v>46349</v>
      </c>
      <c r="K23" s="174">
        <f>IF(AND(YEAR(NovOffSet+24)=BegCalYear,MONTH(NovOffSet+24)=11),NovOffSet+24,"")</f>
        <v>46350</v>
      </c>
      <c r="L23" s="174">
        <f>IF(AND(YEAR(NovOffSet+25)=BegCalYear,MONTH(NovOffSet+25)=11),NovOffSet+25,"")</f>
        <v>46351</v>
      </c>
      <c r="M23" s="174">
        <f>IF(AND(YEAR(NovOffSet+26)=BegCalYear,MONTH(NovOffSet+26)=11),NovOffSet+26,"")</f>
        <v>46352</v>
      </c>
      <c r="N23" s="173">
        <f>IF(AND(YEAR(NovOffSet+27)=BegCalYear,MONTH(NovOffSet+27)=11),NovOffSet+27,"")</f>
        <v>46353</v>
      </c>
      <c r="O23" s="25" t="s">
        <v>13</v>
      </c>
      <c r="P23" s="256"/>
      <c r="Q23" s="88">
        <f>IF(AND(YEAR(FebOffSet+23)=CalendarYear,MONTH(FebOffSet+23)=2),FebOffSet+23,"")</f>
        <v>46440</v>
      </c>
      <c r="R23" s="174">
        <f>IF(AND(YEAR(FebOffSet+24)=CalendarYear,MONTH(FebOffSet+24)=2),FebOffSet+24,"")</f>
        <v>46441</v>
      </c>
      <c r="S23" s="174">
        <f>IF(AND(YEAR(FebOffSet+25)=CalendarYear,MONTH(FebOffSet+25)=2),FebOffSet+25,"")</f>
        <v>46442</v>
      </c>
      <c r="T23" s="174">
        <f>IF(AND(YEAR(FebOffSet+26)=CalendarYear,MONTH(FebOffSet+26)=2),FebOffSet+26,"")</f>
        <v>46443</v>
      </c>
      <c r="U23" s="173">
        <f>IF(AND(YEAR(FebOffSet+27)=CalendarYear,MONTH(FebOffSet+27)=2),FebOffSet+27,"")</f>
        <v>46444</v>
      </c>
      <c r="V23" s="25" t="s">
        <v>13</v>
      </c>
      <c r="W23" s="256"/>
      <c r="X23" s="88">
        <f>IF(AND(YEAR(MayOffSet+23)=CalendarYear,MONTH(MayOffSet+23)=5),MayOffSet+23,"")</f>
        <v>46524</v>
      </c>
      <c r="Y23" s="174">
        <f>IF(AND(YEAR(MayOffSet+24)=CalendarYear,MONTH(MayOffSet+24)=5),MayOffSet+24,"")</f>
        <v>46525</v>
      </c>
      <c r="Z23" s="174">
        <f>IF(AND(YEAR(MayOffSet+25)=CalendarYear,MONTH(MayOffSet+25)=5),MayOffSet+25,"")</f>
        <v>46526</v>
      </c>
      <c r="AA23" s="174">
        <f>IF(AND(YEAR(MayOffSet+26)=CalendarYear,MONTH(MayOffSet+26)=5),MayOffSet+26,"")</f>
        <v>46527</v>
      </c>
      <c r="AB23" s="173">
        <f>IF(AND(YEAR(MayOffSet+27)=CalendarYear,MONTH(MayOffSet+27)=5),MayOffSet+27,"")</f>
        <v>46528</v>
      </c>
      <c r="AC23" s="25" t="s">
        <v>13</v>
      </c>
      <c r="AD23" s="11"/>
      <c r="AE23" s="40"/>
      <c r="AF23" s="40"/>
    </row>
    <row r="24" spans="1:32" x14ac:dyDescent="0.25">
      <c r="A24" s="16"/>
      <c r="B24" s="259"/>
      <c r="C24" s="167"/>
      <c r="D24" s="168"/>
      <c r="E24" s="168"/>
      <c r="F24" s="168"/>
      <c r="G24" s="169"/>
      <c r="H24" s="77" t="s">
        <v>14</v>
      </c>
      <c r="I24" s="240"/>
      <c r="J24" s="167"/>
      <c r="K24" s="168"/>
      <c r="L24" s="168"/>
      <c r="M24" s="168"/>
      <c r="N24" s="169"/>
      <c r="O24" s="77" t="s">
        <v>14</v>
      </c>
      <c r="P24" s="256"/>
      <c r="Q24" s="167"/>
      <c r="R24" s="168"/>
      <c r="S24" s="168"/>
      <c r="T24" s="168"/>
      <c r="U24" s="169"/>
      <c r="V24" s="77" t="s">
        <v>14</v>
      </c>
      <c r="W24" s="256"/>
      <c r="X24" s="167"/>
      <c r="Y24" s="168"/>
      <c r="Z24" s="168"/>
      <c r="AA24" s="168"/>
      <c r="AB24" s="169"/>
      <c r="AC24" s="77" t="s">
        <v>14</v>
      </c>
      <c r="AD24" s="11"/>
      <c r="AE24" s="40"/>
      <c r="AF24" s="40"/>
    </row>
    <row r="25" spans="1:32" ht="15.75" thickBot="1" x14ac:dyDescent="0.3">
      <c r="A25" s="16"/>
      <c r="B25" s="260"/>
      <c r="C25" s="89">
        <f>IF(AND(YEAR(AugOffSet+30)=BegCalYear,MONTH(AugOffSet+30)=8),AugOffSet+30,"")</f>
        <v>46258</v>
      </c>
      <c r="D25" s="175">
        <f>IF(AND(YEAR(AugOffSet+31)=BegCalYear,MONTH(AugOffSet+31)=8),AugOffSet+31,"")</f>
        <v>46259</v>
      </c>
      <c r="E25" s="175">
        <f>IF(AND(YEAR(AugOffSet+32)=BegCalYear,MONTH(AugOffSet+32)=8),AugOffSet+32,"")</f>
        <v>46260</v>
      </c>
      <c r="F25" s="175">
        <f>IF(AND(YEAR(AugOffSet+33)=BegCalYear,MONTH(AugOffSet+33)=8),AugOffSet+33,"")</f>
        <v>46261</v>
      </c>
      <c r="G25" s="176">
        <f>IF(AND(YEAR(AugOffSet+34)=BegCalYear,MONTH(AugOffSet+34)=8),AugOffSet+34,"")</f>
        <v>46262</v>
      </c>
      <c r="H25" s="78">
        <f>ROUNDDOWN(SUM(SUM(C16:G16,C18:G18,C20:G20,C22:G22,C24:G24)/8),1)</f>
        <v>0</v>
      </c>
      <c r="I25" s="252"/>
      <c r="J25" s="89">
        <f>IF(AND(YEAR(NovOffSet+30)=BegCalYear,MONTH(NovOffSet+30)=11),NovOffSet+30,"")</f>
        <v>46356</v>
      </c>
      <c r="K25" s="175" t="str">
        <f>IF(AND(YEAR(NovOffSet+31)=BegCalYear,MONTH(NovOffSet+31)=11),NovOffSet+31,"")</f>
        <v/>
      </c>
      <c r="L25" s="175" t="str">
        <f>IF(AND(YEAR(NovOffSet+32)=BegCalYear,MONTH(NovOffSet+32)=11),NovOffSet+32,"")</f>
        <v/>
      </c>
      <c r="M25" s="175" t="str">
        <f>IF(AND(YEAR(NovOffSet+33)=BegCalYear,MONTH(NovOffSet+33)=11),NovOffSet+33,"")</f>
        <v/>
      </c>
      <c r="N25" s="176" t="str">
        <f>IF(AND(YEAR(NovOffSet+34)=BegCalYear,MONTH(NovOffSet+34)=11),NovOffSet+34,"")</f>
        <v/>
      </c>
      <c r="O25" s="78">
        <f>ROUNDDOWN(SUM(SUM(J16:N16,J18:N18,J20:N20,J22:N22,J24:N24)/8),1)</f>
        <v>0</v>
      </c>
      <c r="P25" s="257"/>
      <c r="Q25" s="89" t="str">
        <f>IF(AND(YEAR(FebOffSet+30)=CalendarYear,MONTH(FebOffSet+30)=2),FebOffSet+30,"")</f>
        <v/>
      </c>
      <c r="R25" s="175" t="str">
        <f>IF(AND(YEAR(FebOffSet+31)=CalendarYear,MONTH(FebOffSet+31)=2),FebOffSet+31,"")</f>
        <v/>
      </c>
      <c r="S25" s="175" t="str">
        <f>IF(AND(YEAR(FebOffSet+32)=CalendarYear,MONTH(FebOffSet+32)=2),FebOffSet+32,"")</f>
        <v/>
      </c>
      <c r="T25" s="175" t="str">
        <f>IF(AND(YEAR(FebOffSet+33)=CalendarYear,MONTH(FebOffSet+33)=2),FebOffSet+33,"")</f>
        <v/>
      </c>
      <c r="U25" s="176" t="str">
        <f>IF(AND(YEAR(FebOffSet+34)=CalendarYear,MONTH(FebOffSet+34)=2),FebOffSet+34,"")</f>
        <v/>
      </c>
      <c r="V25" s="78">
        <f>ROUNDDOWN(SUM(SUM(Q18:U18,Q16:U16,Q20:U20,Q22:U22,Q24:U24)/8),1)</f>
        <v>0</v>
      </c>
      <c r="W25" s="257"/>
      <c r="X25" s="89">
        <f>IF(AND(YEAR(MayOffSet+30)=CalendarYear,MONTH(MayOffSet+30)=5),MayOffSet+30,"")</f>
        <v>46531</v>
      </c>
      <c r="Y25" s="175">
        <f>IF(AND(YEAR(MayOffSet+31)=CalendarYear,MONTH(MayOffSet+31)=5),MayOffSet+31,"")</f>
        <v>46532</v>
      </c>
      <c r="Z25" s="175">
        <f>IF(AND(YEAR(MayOffSet+32)=CalendarYear,MONTH(MayOffSet+32)=5),MayOffSet+32,"")</f>
        <v>46533</v>
      </c>
      <c r="AA25" s="175">
        <f>IF(AND(YEAR(MayOffSet+33)=CalendarYear,MONTH(MayOffSet+33)=5),MayOffSet+33,"")</f>
        <v>46534</v>
      </c>
      <c r="AB25" s="176">
        <f>IF(AND(YEAR(MayOffSet+34)=CalendarYear,MONTH(MayOffSet+34)=5),MayOffSet+34,"")</f>
        <v>46535</v>
      </c>
      <c r="AC25" s="78">
        <f>ROUNDDOWN(SUM(SUM(X16:AB16,X18:AB18,X20:AB20,X22:AB22,X24:AB24)/8),1)</f>
        <v>0</v>
      </c>
      <c r="AD25" s="11"/>
      <c r="AE25" s="40"/>
      <c r="AF25" s="40"/>
    </row>
    <row r="26" spans="1:32" ht="15.75" thickBot="1" x14ac:dyDescent="0.3">
      <c r="A26" s="16"/>
      <c r="B26" s="16"/>
      <c r="C26" s="25"/>
      <c r="D26" s="25"/>
      <c r="E26" s="25"/>
      <c r="F26" s="25"/>
      <c r="G26" s="25"/>
      <c r="H26" s="77"/>
      <c r="I26" s="24"/>
      <c r="J26" s="25"/>
      <c r="K26" s="25"/>
      <c r="L26" s="25"/>
      <c r="M26" s="25"/>
      <c r="N26" s="25"/>
      <c r="O26" s="77"/>
      <c r="P26" s="24"/>
      <c r="Q26" s="25"/>
      <c r="R26" s="25"/>
      <c r="S26" s="25"/>
      <c r="T26" s="25"/>
      <c r="U26" s="25"/>
      <c r="V26" s="77"/>
      <c r="W26" s="24"/>
      <c r="X26" s="25"/>
      <c r="Y26" s="25"/>
      <c r="Z26" s="25"/>
      <c r="AA26" s="25"/>
      <c r="AB26" s="25"/>
      <c r="AC26" s="77"/>
      <c r="AD26" s="11"/>
      <c r="AE26" s="40"/>
      <c r="AF26" s="40"/>
    </row>
    <row r="27" spans="1:32" ht="15" customHeight="1" x14ac:dyDescent="0.25">
      <c r="A27" s="16"/>
      <c r="B27" s="258" t="s">
        <v>23</v>
      </c>
      <c r="C27" s="164"/>
      <c r="D27" s="165"/>
      <c r="E27" s="165"/>
      <c r="F27" s="165"/>
      <c r="G27" s="166"/>
      <c r="H27" s="77"/>
      <c r="I27" s="239" t="s">
        <v>24</v>
      </c>
      <c r="J27" s="164"/>
      <c r="K27" s="165"/>
      <c r="L27" s="165"/>
      <c r="M27" s="165"/>
      <c r="N27" s="166"/>
      <c r="O27" s="77"/>
      <c r="P27" s="261" t="s">
        <v>25</v>
      </c>
      <c r="Q27" s="164"/>
      <c r="R27" s="165"/>
      <c r="S27" s="165"/>
      <c r="T27" s="165"/>
      <c r="U27" s="166"/>
      <c r="V27" s="77"/>
      <c r="W27" s="239" t="s">
        <v>80</v>
      </c>
      <c r="X27" s="164"/>
      <c r="Y27" s="165"/>
      <c r="Z27" s="165"/>
      <c r="AA27" s="165"/>
      <c r="AB27" s="166"/>
      <c r="AC27" s="77"/>
      <c r="AD27" s="11"/>
      <c r="AE27" s="40"/>
      <c r="AF27" s="40"/>
    </row>
    <row r="28" spans="1:32" x14ac:dyDescent="0.25">
      <c r="A28" s="16"/>
      <c r="B28" s="259"/>
      <c r="C28" s="88">
        <f>IF(AND(YEAR(AugOffSet+37)=BegCalYear,MONTH(AugOffSet+37)=8),AugOffSet+37,"")</f>
        <v>46265</v>
      </c>
      <c r="D28" s="174">
        <f>IF(AND(YEAR(SeptOffSet+3)=BegCalYear,MONTH(SeptOffSet+3)=9),SeptOffSet+3,"")</f>
        <v>46266</v>
      </c>
      <c r="E28" s="174">
        <f>IF(AND(YEAR(SeptOffSet+4)=BegCalYear,MONTH(SeptOffSet+4)=9),SeptOffSet+4,"")</f>
        <v>46267</v>
      </c>
      <c r="F28" s="174">
        <f>IF(AND(YEAR(SeptOffSet+5)=BegCalYear,MONTH(SeptOffSet+5)=9),SeptOffSet+5,"")</f>
        <v>46268</v>
      </c>
      <c r="G28" s="173">
        <f>IF(AND(YEAR(SeptOffSet+6)=BegCalYear,MONTH(SeptOffSet+6)=9),SeptOffSet+6,"")</f>
        <v>46269</v>
      </c>
      <c r="H28" s="77"/>
      <c r="I28" s="240"/>
      <c r="J28" s="88" t="str">
        <f>IF(AND(YEAR(DecOffSet+2)=BegCalYear,MONTH(DecOffSet+2)=12),DecOffSet+2,"")</f>
        <v/>
      </c>
      <c r="K28" s="174">
        <f>IF(AND(YEAR(DecOffSet+3)=BegCalYear,MONTH(DecOffSet+3)=12),DecOffSet+3,"")</f>
        <v>46357</v>
      </c>
      <c r="L28" s="174">
        <f>IF(AND(YEAR(DecOffSet+4)=BegCalYear,MONTH(DecOffSet+4)=12),DecOffSet+4,"")</f>
        <v>46358</v>
      </c>
      <c r="M28" s="174">
        <f>IF(AND(YEAR(DecOffSet+5)=BegCalYear,MONTH(DecOffSet+5)=12),DecOffSet+5,"")</f>
        <v>46359</v>
      </c>
      <c r="N28" s="173">
        <f>IF(AND(YEAR(DecOffSet+6)=BegCalYear,MONTH(DecOffSet+6)=12),DecOffSet+6,"")</f>
        <v>46360</v>
      </c>
      <c r="O28" s="77"/>
      <c r="P28" s="262"/>
      <c r="Q28" s="88">
        <f>IF(AND(YEAR(MarOffSet+2)=CalendarYear,MONTH(MarOffSet+2)=3),MarOffSet+2,"")</f>
        <v>46447</v>
      </c>
      <c r="R28" s="174">
        <f>IF(AND(YEAR(MarOffSet+3)=CalendarYear,MONTH(MarOffSet+3)=3),MarOffSet+3,"")</f>
        <v>46448</v>
      </c>
      <c r="S28" s="174">
        <f>IF(AND(YEAR(MarOffSet+4)=CalendarYear,MONTH(MarOffSet+4)=3),MarOffSet+4,"")</f>
        <v>46449</v>
      </c>
      <c r="T28" s="174">
        <f>IF(AND(YEAR(MarOffSet+5)=CalendarYear,MONTH(MarOffSet+5)=3),MarOffSet+5,"")</f>
        <v>46450</v>
      </c>
      <c r="U28" s="173">
        <f>IF(AND(YEAR(MarOffSet+6)=CalendarYear,MONTH(MarOffSet+6)=3),MarOffSet+6,"")</f>
        <v>46451</v>
      </c>
      <c r="V28" s="77"/>
      <c r="W28" s="240"/>
      <c r="X28" s="88" t="str">
        <f>IF(AND(YEAR(JuneOffSet+2)=CalendarYear,MONTH(JuneOffSet+2)=6),JuneOffSet+2,"")</f>
        <v/>
      </c>
      <c r="Y28" s="174">
        <f>IF(AND(YEAR(JuneOffSet+3)=CalendarYear,MONTH(JuneOffSet+3)=6),JuneOffSet+3,"")</f>
        <v>46539</v>
      </c>
      <c r="Z28" s="174">
        <f>IF(AND(YEAR(JuneOffSet+4)=CalendarYear,MONTH(JuneOffSet+4)=6),JuneOffSet+4,"")</f>
        <v>46540</v>
      </c>
      <c r="AA28" s="174">
        <f>IF(AND(YEAR(JuneOffSet+5)=CalendarYear,MONTH(JuneOffSet+5)=6),JuneOffSet+5,"")</f>
        <v>46541</v>
      </c>
      <c r="AB28" s="173">
        <f>IF(AND(YEAR(JuneOffSet+6)=CalendarYear,MONTH(JuneOffSet+6)=6),JuneOffSet+6,"")</f>
        <v>46542</v>
      </c>
      <c r="AC28" s="77"/>
      <c r="AD28" s="11"/>
      <c r="AE28" s="40"/>
      <c r="AF28" s="40"/>
    </row>
    <row r="29" spans="1:32" ht="15" customHeight="1" x14ac:dyDescent="0.25">
      <c r="A29" s="16"/>
      <c r="B29" s="259"/>
      <c r="C29" s="167"/>
      <c r="D29" s="168"/>
      <c r="E29" s="168"/>
      <c r="F29" s="168"/>
      <c r="G29" s="169"/>
      <c r="H29" s="77"/>
      <c r="I29" s="240"/>
      <c r="J29" s="167"/>
      <c r="K29" s="168"/>
      <c r="L29" s="168"/>
      <c r="M29" s="168"/>
      <c r="N29" s="169"/>
      <c r="O29" s="77"/>
      <c r="P29" s="262"/>
      <c r="Q29" s="167"/>
      <c r="R29" s="168"/>
      <c r="S29" s="168"/>
      <c r="T29" s="168"/>
      <c r="U29" s="169"/>
      <c r="V29" s="77"/>
      <c r="W29" s="240"/>
      <c r="X29" s="167"/>
      <c r="Y29" s="168"/>
      <c r="Z29" s="168"/>
      <c r="AA29" s="168"/>
      <c r="AB29" s="169"/>
      <c r="AC29" s="77"/>
      <c r="AD29" s="11"/>
      <c r="AE29" s="40"/>
      <c r="AF29" s="40"/>
    </row>
    <row r="30" spans="1:32" x14ac:dyDescent="0.25">
      <c r="A30" s="16"/>
      <c r="B30" s="259"/>
      <c r="C30" s="88">
        <f>IF(AND(YEAR(SeptOffSet+9)=BegCalYear,MONTH(SeptOffSet+9)=9),SeptOffSet+9,"")</f>
        <v>46272</v>
      </c>
      <c r="D30" s="174">
        <f>IF(AND(YEAR(SeptOffSet+10)=BegCalYear,MONTH(SeptOffSet+10)=9),SeptOffSet+10,"")</f>
        <v>46273</v>
      </c>
      <c r="E30" s="174">
        <f>IF(AND(YEAR(SeptOffSet+11)=BegCalYear,MONTH(SeptOffSet+11)=9),SeptOffSet+11,"")</f>
        <v>46274</v>
      </c>
      <c r="F30" s="174">
        <f>IF(AND(YEAR(SeptOffSet+12)=BegCalYear,MONTH(SeptOffSet+12)=9),SeptOffSet+12,"")</f>
        <v>46275</v>
      </c>
      <c r="G30" s="173">
        <f>IF(AND(YEAR(SeptOffSet+13)=BegCalYear,MONTH(SeptOffSet+13)=9),SeptOffSet+13,"")</f>
        <v>46276</v>
      </c>
      <c r="H30" s="77"/>
      <c r="I30" s="240"/>
      <c r="J30" s="88">
        <f>IF(AND(YEAR(DecOffSet+9)=BegCalYear,MONTH(DecOffSet+9)=12),DecOffSet+9,"")</f>
        <v>46363</v>
      </c>
      <c r="K30" s="174">
        <f>IF(AND(YEAR(DecOffSet+10)=BegCalYear,MONTH(DecOffSet+10)=12),DecOffSet+10,"")</f>
        <v>46364</v>
      </c>
      <c r="L30" s="174">
        <f>IF(AND(YEAR(DecOffSet+11)=BegCalYear,MONTH(DecOffSet+11)=12),DecOffSet+11,"")</f>
        <v>46365</v>
      </c>
      <c r="M30" s="174">
        <f>IF(AND(YEAR(DecOffSet+12)=BegCalYear,MONTH(DecOffSet+12)=12),DecOffSet+12,"")</f>
        <v>46366</v>
      </c>
      <c r="N30" s="173">
        <f>IF(AND(YEAR(DecOffSet+13)=BegCalYear,MONTH(DecOffSet+13)=12),DecOffSet+13,"")</f>
        <v>46367</v>
      </c>
      <c r="O30" s="77"/>
      <c r="P30" s="262"/>
      <c r="Q30" s="88">
        <f>IF(AND(YEAR(MarOffSet+9)=CalendarYear,MONTH(MarOffSet+9)=3),MarOffSet+9,"")</f>
        <v>46454</v>
      </c>
      <c r="R30" s="174">
        <f>IF(AND(YEAR(MarOffSet+10)=CalendarYear,MONTH(MarOffSet+10)=3),MarOffSet+10,"")</f>
        <v>46455</v>
      </c>
      <c r="S30" s="174">
        <f>IF(AND(YEAR(MarOffSet+11)=CalendarYear,MONTH(MarOffSet+11)=3),MarOffSet+11,"")</f>
        <v>46456</v>
      </c>
      <c r="T30" s="174">
        <f>IF(AND(YEAR(MarOffSet+12)=CalendarYear,MONTH(MarOffSet+12)=3),MarOffSet+12,"")</f>
        <v>46457</v>
      </c>
      <c r="U30" s="173">
        <f>IF(AND(YEAR(MarOffSet+13)=CalendarYear,MONTH(MarOffSet+13)=3),MarOffSet+13,"")</f>
        <v>46458</v>
      </c>
      <c r="V30" s="77"/>
      <c r="W30" s="240"/>
      <c r="X30" s="88">
        <f>IF(AND(YEAR(JuneOffSet+9)=CalendarYear,MONTH(JuneOffSet+9)=6),JuneOffSet+9,"")</f>
        <v>46545</v>
      </c>
      <c r="Y30" s="174">
        <f>IF(AND(YEAR(JuneOffSet+10)=CalendarYear,MONTH(JuneOffSet+10)=6),JuneOffSet+10,"")</f>
        <v>46546</v>
      </c>
      <c r="Z30" s="174">
        <f>IF(AND(YEAR(JuneOffSet+11)=CalendarYear,MONTH(JuneOffSet+11)=6),JuneOffSet+11,"")</f>
        <v>46547</v>
      </c>
      <c r="AA30" s="174">
        <f>IF(AND(YEAR(JuneOffSet+12)=CalendarYear,MONTH(JuneOffSet+12)=6),JuneOffSet+12,"")</f>
        <v>46548</v>
      </c>
      <c r="AB30" s="173">
        <f>IF(AND(YEAR(JuneOffSet+13)=CalendarYear,MONTH(JuneOffSet+13)=6),JuneOffSet+13,"")</f>
        <v>46549</v>
      </c>
      <c r="AC30" s="77"/>
      <c r="AD30" s="11"/>
      <c r="AE30" s="40"/>
      <c r="AF30" s="40"/>
    </row>
    <row r="31" spans="1:32" x14ac:dyDescent="0.25">
      <c r="A31" s="16"/>
      <c r="B31" s="259"/>
      <c r="C31" s="167"/>
      <c r="D31" s="168"/>
      <c r="E31" s="168"/>
      <c r="F31" s="168"/>
      <c r="G31" s="169"/>
      <c r="H31" s="77"/>
      <c r="I31" s="240"/>
      <c r="J31" s="167"/>
      <c r="K31" s="168"/>
      <c r="L31" s="168"/>
      <c r="M31" s="168"/>
      <c r="N31" s="169"/>
      <c r="O31" s="77"/>
      <c r="P31" s="262"/>
      <c r="Q31" s="167"/>
      <c r="R31" s="168"/>
      <c r="S31" s="168"/>
      <c r="T31" s="168"/>
      <c r="U31" s="169"/>
      <c r="V31" s="77"/>
      <c r="W31" s="240"/>
      <c r="X31" s="167"/>
      <c r="Y31" s="168"/>
      <c r="Z31" s="168"/>
      <c r="AA31" s="168"/>
      <c r="AB31" s="169"/>
      <c r="AC31" s="77"/>
      <c r="AD31" s="11"/>
      <c r="AE31" s="40"/>
      <c r="AF31" s="40"/>
    </row>
    <row r="32" spans="1:32" x14ac:dyDescent="0.25">
      <c r="A32" s="16"/>
      <c r="B32" s="259"/>
      <c r="C32" s="88">
        <f>IF(AND(YEAR(SeptOffSet+16)=BegCalYear,MONTH(SeptOffSet+16)=9),SeptOffSet+16,"")</f>
        <v>46279</v>
      </c>
      <c r="D32" s="174">
        <f>IF(AND(YEAR(SeptOffSet+17)=BegCalYear,MONTH(SeptOffSet+17)=9),SeptOffSet+17,"")</f>
        <v>46280</v>
      </c>
      <c r="E32" s="174">
        <f>IF(AND(YEAR(SeptOffSet+18)=BegCalYear,MONTH(SeptOffSet+18)=9),SeptOffSet+18,"")</f>
        <v>46281</v>
      </c>
      <c r="F32" s="174">
        <f>IF(AND(YEAR(SeptOffSet+19)=BegCalYear,MONTH(SeptOffSet+19)=9),SeptOffSet+19,"")</f>
        <v>46282</v>
      </c>
      <c r="G32" s="173">
        <f>IF(AND(YEAR(SeptOffSet+20)=BegCalYear,MONTH(SeptOffSet+20)=9),SeptOffSet+20,"")</f>
        <v>46283</v>
      </c>
      <c r="H32" s="77"/>
      <c r="I32" s="240"/>
      <c r="J32" s="88">
        <f>IF(AND(YEAR(DecOffSet+16)=BegCalYear,MONTH(DecOffSet+16)=12),DecOffSet+16,"")</f>
        <v>46370</v>
      </c>
      <c r="K32" s="174">
        <f>IF(AND(YEAR(DecOffSet+17)=BegCalYear,MONTH(DecOffSet+17)=12),DecOffSet+17,"")</f>
        <v>46371</v>
      </c>
      <c r="L32" s="174">
        <f>IF(AND(YEAR(DecOffSet+18)=BegCalYear,MONTH(DecOffSet+18)=12),DecOffSet+18,"")</f>
        <v>46372</v>
      </c>
      <c r="M32" s="174">
        <f>IF(AND(YEAR(DecOffSet+19)=BegCalYear,MONTH(DecOffSet+19)=12),DecOffSet+19,"")</f>
        <v>46373</v>
      </c>
      <c r="N32" s="173">
        <f>IF(AND(YEAR(DecOffSet+20)=BegCalYear,MONTH(DecOffSet+20)=12),DecOffSet+20,"")</f>
        <v>46374</v>
      </c>
      <c r="O32" s="77"/>
      <c r="P32" s="262"/>
      <c r="Q32" s="88">
        <f>IF(AND(YEAR(MarOffSet+16)=CalendarYear,MONTH(MarOffSet+16)=3),MarOffSet+16,"")</f>
        <v>46461</v>
      </c>
      <c r="R32" s="174">
        <f>IF(AND(YEAR(MarOffSet+17)=CalendarYear,MONTH(MarOffSet+17)=3),MarOffSet+17,"")</f>
        <v>46462</v>
      </c>
      <c r="S32" s="174">
        <f>IF(AND(YEAR(MarOffSet+18)=CalendarYear,MONTH(MarOffSet+18)=3),MarOffSet+18,"")</f>
        <v>46463</v>
      </c>
      <c r="T32" s="174">
        <f>IF(AND(YEAR(MarOffSet+19)=CalendarYear,MONTH(MarOffSet+19)=3),MarOffSet+19,"")</f>
        <v>46464</v>
      </c>
      <c r="U32" s="173">
        <f>IF(AND(YEAR(MarOffSet+20)=CalendarYear,MONTH(MarOffSet+20)=3),MarOffSet+20,"")</f>
        <v>46465</v>
      </c>
      <c r="V32" s="77"/>
      <c r="W32" s="240"/>
      <c r="X32" s="88">
        <f>IF(AND(YEAR(JuneOffSet+16)=CalendarYear,MONTH(JuneOffSet+16)=6),JuneOffSet+16,"")</f>
        <v>46552</v>
      </c>
      <c r="Y32" s="174">
        <f>IF(AND(YEAR(JuneOffSet+17)=CalendarYear,MONTH(JuneOffSet+17)=6),JuneOffSet+17,"")</f>
        <v>46553</v>
      </c>
      <c r="Z32" s="174">
        <f>IF(AND(YEAR(JuneOffSet+18)=CalendarYear,MONTH(JuneOffSet+18)=6),JuneOffSet+18,"")</f>
        <v>46554</v>
      </c>
      <c r="AA32" s="174">
        <f>IF(AND(YEAR(JuneOffSet+19)=CalendarYear,MONTH(JuneOffSet+19)=6),JuneOffSet+19,"")</f>
        <v>46555</v>
      </c>
      <c r="AB32" s="173">
        <f>IF(AND(YEAR(JuneOffSet+20)=CalendarYear,MONTH(JuneOffSet+20)=6),JuneOffSet+20,"")</f>
        <v>46556</v>
      </c>
      <c r="AC32" s="77"/>
      <c r="AD32" s="11"/>
      <c r="AE32" s="40"/>
      <c r="AF32" s="40"/>
    </row>
    <row r="33" spans="1:41" ht="15" customHeight="1" x14ac:dyDescent="0.25">
      <c r="A33" s="16"/>
      <c r="B33" s="259"/>
      <c r="C33" s="167"/>
      <c r="D33" s="168"/>
      <c r="E33" s="168"/>
      <c r="F33" s="168"/>
      <c r="G33" s="169"/>
      <c r="H33" s="77" t="s">
        <v>26</v>
      </c>
      <c r="I33" s="240"/>
      <c r="J33" s="167"/>
      <c r="K33" s="168"/>
      <c r="L33" s="168"/>
      <c r="M33" s="168"/>
      <c r="N33" s="169"/>
      <c r="O33" s="77" t="s">
        <v>27</v>
      </c>
      <c r="P33" s="262"/>
      <c r="Q33" s="167"/>
      <c r="R33" s="168"/>
      <c r="S33" s="168"/>
      <c r="T33" s="168"/>
      <c r="U33" s="169"/>
      <c r="V33" s="77" t="s">
        <v>28</v>
      </c>
      <c r="W33" s="240"/>
      <c r="X33" s="167"/>
      <c r="Y33" s="168"/>
      <c r="Z33" s="168"/>
      <c r="AA33" s="168"/>
      <c r="AB33" s="169"/>
      <c r="AC33" s="77" t="s">
        <v>81</v>
      </c>
      <c r="AD33" s="11"/>
      <c r="AE33" s="40"/>
      <c r="AF33" s="40"/>
    </row>
    <row r="34" spans="1:41" x14ac:dyDescent="0.25">
      <c r="A34" s="16"/>
      <c r="B34" s="259"/>
      <c r="C34" s="88">
        <f>IF(AND(YEAR(SeptOffSet+23)=BegCalYear,MONTH(SeptOffSet+23)=9),SeptOffSet+23,"")</f>
        <v>46286</v>
      </c>
      <c r="D34" s="174">
        <f>IF(AND(YEAR(SeptOffSet+24)=BegCalYear,MONTH(SeptOffSet+24)=9),SeptOffSet+24,"")</f>
        <v>46287</v>
      </c>
      <c r="E34" s="174">
        <f>IF(AND(YEAR(SeptOffSet+25)=BegCalYear,MONTH(SeptOffSet+25)=9),SeptOffSet+25,"")</f>
        <v>46288</v>
      </c>
      <c r="F34" s="174">
        <f>IF(AND(YEAR(SeptOffSet+26)=BegCalYear,MONTH(SeptOffSet+26)=9),SeptOffSet+26,"")</f>
        <v>46289</v>
      </c>
      <c r="G34" s="173">
        <f>IF(AND(YEAR(SeptOffSet+27)=BegCalYear,MONTH(SeptOffSet+27)=9),SeptOffSet+27,"")</f>
        <v>46290</v>
      </c>
      <c r="H34" s="25" t="s">
        <v>13</v>
      </c>
      <c r="I34" s="240"/>
      <c r="J34" s="88">
        <f>IF(AND(YEAR(DecOffSet+23)=BegCalYear,MONTH(DecOffSet+23)=12),DecOffSet+23,"")</f>
        <v>46377</v>
      </c>
      <c r="K34" s="174">
        <f>IF(AND(YEAR(DecOffSet+24)=BegCalYear,MONTH(DecOffSet+24)=12),DecOffSet+24,"")</f>
        <v>46378</v>
      </c>
      <c r="L34" s="174">
        <f>IF(AND(YEAR(DecOffSet+25)=BegCalYear,MONTH(DecOffSet+25)=12),DecOffSet+25,"")</f>
        <v>46379</v>
      </c>
      <c r="M34" s="174">
        <f>IF(AND(YEAR(DecOffSet+26)=BegCalYear,MONTH(DecOffSet+26)=12),DecOffSet+26,"")</f>
        <v>46380</v>
      </c>
      <c r="N34" s="173">
        <f>IF(AND(YEAR(DecOffSet+27)=BegCalYear,MONTH(DecOffSet+27)=12),DecOffSet+27,"")</f>
        <v>46381</v>
      </c>
      <c r="O34" s="25" t="s">
        <v>13</v>
      </c>
      <c r="P34" s="262"/>
      <c r="Q34" s="88">
        <f>IF(AND(YEAR(MarOffSet+23)=CalendarYear,MONTH(MarOffSet+23)=3),MarOffSet+23,"")</f>
        <v>46468</v>
      </c>
      <c r="R34" s="174">
        <f>IF(AND(YEAR(MarOffSet+24)=CalendarYear,MONTH(MarOffSet+24)=3),MarOffSet+24,"")</f>
        <v>46469</v>
      </c>
      <c r="S34" s="174">
        <f>IF(AND(YEAR(MarOffSet+25)=CalendarYear,MONTH(MarOffSet+25)=3),MarOffSet+25,"")</f>
        <v>46470</v>
      </c>
      <c r="T34" s="174">
        <f>IF(AND(YEAR(MarOffSet+26)=CalendarYear,MONTH(MarOffSet+26)=3),MarOffSet+26,"")</f>
        <v>46471</v>
      </c>
      <c r="U34" s="173">
        <f>IF(AND(YEAR(MarOffSet+27)=CalendarYear,MONTH(MarOffSet+27)=3),MarOffSet+27,"")</f>
        <v>46472</v>
      </c>
      <c r="V34" s="25" t="s">
        <v>13</v>
      </c>
      <c r="W34" s="240"/>
      <c r="X34" s="88">
        <f>IF(AND(YEAR(JuneOffSet+23)=CalendarYear,MONTH(JuneOffSet+23)=6),JuneOffSet+23,"")</f>
        <v>46559</v>
      </c>
      <c r="Y34" s="174">
        <f>IF(AND(YEAR(JuneOffSet+24)=CalendarYear,MONTH(JuneOffSet+24)=6),JuneOffSet+24,"")</f>
        <v>46560</v>
      </c>
      <c r="Z34" s="174">
        <f>IF(AND(YEAR(JuneOffSet+25)=CalendarYear,MONTH(JuneOffSet+25)=6),JuneOffSet+25,"")</f>
        <v>46561</v>
      </c>
      <c r="AA34" s="174">
        <f>IF(AND(YEAR(JuneOffSet+26)=CalendarYear,MONTH(JuneOffSet+26)=6),JuneOffSet+26,"")</f>
        <v>46562</v>
      </c>
      <c r="AB34" s="173">
        <f>IF(AND(YEAR(JuneOffSet+27)=CalendarYear,MONTH(JuneOffSet+27)=6),JuneOffSet+27,"")</f>
        <v>46563</v>
      </c>
      <c r="AC34" s="25" t="s">
        <v>13</v>
      </c>
      <c r="AD34" s="11"/>
      <c r="AE34" s="40"/>
      <c r="AF34" s="40"/>
    </row>
    <row r="35" spans="1:41" ht="16.5" customHeight="1" x14ac:dyDescent="0.25">
      <c r="A35" s="16"/>
      <c r="B35" s="259"/>
      <c r="C35" s="167"/>
      <c r="D35" s="168"/>
      <c r="E35" s="168"/>
      <c r="F35" s="168"/>
      <c r="G35" s="169"/>
      <c r="H35" s="77" t="s">
        <v>14</v>
      </c>
      <c r="I35" s="240"/>
      <c r="J35" s="167"/>
      <c r="K35" s="168"/>
      <c r="L35" s="168"/>
      <c r="M35" s="168"/>
      <c r="N35" s="169"/>
      <c r="O35" s="77" t="s">
        <v>14</v>
      </c>
      <c r="P35" s="262"/>
      <c r="Q35" s="167"/>
      <c r="R35" s="168"/>
      <c r="S35" s="168"/>
      <c r="T35" s="168"/>
      <c r="U35" s="169"/>
      <c r="V35" s="77" t="s">
        <v>14</v>
      </c>
      <c r="W35" s="240"/>
      <c r="X35" s="167"/>
      <c r="Y35" s="168"/>
      <c r="Z35" s="168"/>
      <c r="AA35" s="168"/>
      <c r="AB35" s="169"/>
      <c r="AC35" s="77" t="s">
        <v>14</v>
      </c>
      <c r="AD35" s="11"/>
      <c r="AE35" s="40"/>
      <c r="AF35" s="40"/>
    </row>
    <row r="36" spans="1:41" ht="15.75" thickBot="1" x14ac:dyDescent="0.3">
      <c r="A36" s="16"/>
      <c r="B36" s="260"/>
      <c r="C36" s="89">
        <f>IF(AND(YEAR(SeptOffSet+30)=BegCalYear,MONTH(SeptOffSet+30)=9),SeptOffSet+30,"")</f>
        <v>46293</v>
      </c>
      <c r="D36" s="175">
        <f>IF(AND(YEAR(SeptOffSet+31)=BegCalYear,MONTH(SeptOffSet+31)=9),SeptOffSet+31,"")</f>
        <v>46294</v>
      </c>
      <c r="E36" s="175">
        <f>IF(AND(YEAR(SeptOffSet+32)=BegCalYear,MONTH(SeptOffSet+32)=9),SeptOffSet+32,"")</f>
        <v>46295</v>
      </c>
      <c r="F36" s="175" t="str">
        <f>IF(AND(YEAR(SeptOffSet+33)=BegCalYear,MONTH(SeptOffSet+33)=9),SeptOffSet+33,"")</f>
        <v/>
      </c>
      <c r="G36" s="176" t="str">
        <f>IF(AND(YEAR(SeptOffSet+34)=BegCalYear,MONTH(SeptOffSet+34)=9),SeptOffSet+34,"")</f>
        <v/>
      </c>
      <c r="H36" s="78">
        <f>ROUNDDOWN(SUM(SUM(C27:G27,C29:G29,C31:G31,C33:G33,C35:G35)/8),1)</f>
        <v>0</v>
      </c>
      <c r="I36" s="252"/>
      <c r="J36" s="89">
        <f>IF(AND(YEAR(DecOffSet+30)=BegCalYear,MONTH(DecOffSet+30)=12),DecOffSet+30,"")</f>
        <v>46384</v>
      </c>
      <c r="K36" s="175">
        <f>IF(AND(YEAR(DecOffSet+31)=BegCalYear,MONTH(DecOffSet+31)=12),DecOffSet+31,"")</f>
        <v>46385</v>
      </c>
      <c r="L36" s="175">
        <f>IF(AND(YEAR(DecOffSet+32)=BegCalYear,MONTH(DecOffSet+32)=12),DecOffSet+32,"")</f>
        <v>46386</v>
      </c>
      <c r="M36" s="175">
        <f>IF(AND(YEAR(DecOffSet+33)=BegCalYear,MONTH(DecOffSet+33)=12),DecOffSet+33,"")</f>
        <v>46387</v>
      </c>
      <c r="N36" s="176" t="str">
        <f>IF(AND(YEAR(DecOffSet+34)=BegCalYear,MONTH(DecOffSet+34)=12),DecOffSet+34,"")</f>
        <v/>
      </c>
      <c r="O36" s="78">
        <f>ROUNDDOWN(SUM(SUM(J27:N27,J29:N29,J31:N31,J33:N33,J35:N35)/8),1)</f>
        <v>0</v>
      </c>
      <c r="P36" s="263"/>
      <c r="Q36" s="89">
        <f>IF(AND(YEAR(MarOffSet+30)=CalendarYear,MONTH(MarOffSet+30)=3),MarOffSet+30,"")</f>
        <v>46475</v>
      </c>
      <c r="R36" s="175">
        <f>IF(AND(YEAR(MarOffSet+31)=CalendarYear,MONTH(MarOffSet+31)=3),MarOffSet+31,"")</f>
        <v>46476</v>
      </c>
      <c r="S36" s="175">
        <f>IF(AND(YEAR(MarOffSet+32)=CalendarYear,MONTH(MarOffSet+32)=3),MarOffSet+32,"")</f>
        <v>46477</v>
      </c>
      <c r="T36" s="175" t="str">
        <f>IF(AND(YEAR(MarOffSet+33)=CalendarYear,MONTH(MarOffSet+33)=3),MarOffSet+33,"")</f>
        <v/>
      </c>
      <c r="U36" s="176" t="str">
        <f>IF(AND(YEAR(MarOffSet+34)=CalendarYear,MONTH(MarOffSet+34)=3),MarOffSet+34,"")</f>
        <v/>
      </c>
      <c r="V36" s="78">
        <f>ROUNDDOWN(SUM(SUM(Q27:U27,Q29:U29,Q31:U31,Q33:U33,Q35:U35)/8),1)</f>
        <v>0</v>
      </c>
      <c r="W36" s="240"/>
      <c r="X36" s="89">
        <f>IF(AND(YEAR(JuneOffSet+30)=CalendarYear,MONTH(JuneOffSet+30)=6),JuneOffSet+30,"")</f>
        <v>46566</v>
      </c>
      <c r="Y36" s="175">
        <f>IF(AND(YEAR(JuneOffSet+31)=CalendarYear,MONTH(JuneOffSet+31)=6),JuneOffSet+31,"")</f>
        <v>46567</v>
      </c>
      <c r="Z36" s="175">
        <f>IF(AND(YEAR(JuneOffSet+32)=CalendarYear,MONTH(JuneOffSet+32)=6),JuneOffSet+32,"")</f>
        <v>46568</v>
      </c>
      <c r="AA36" s="175" t="str">
        <f>IF(AND(YEAR(JuneOffSet+33)=CalendarYear,MONTH(JuneOffSet+33)=6),JuneOffSet+33,"")</f>
        <v/>
      </c>
      <c r="AB36" s="176" t="str">
        <f>IF(AND(YEAR(JuneOffSet+34)=CalendarYear,MONTH(JuneOffSet+34)=6),JuneOffSet+34,"")</f>
        <v/>
      </c>
      <c r="AC36" s="78">
        <f>ROUNDDOWN(SUM(SUM(X27:AB27,X29:AB29,X31:AB31,X33:AB33,X35:AB35,)/8),1)</f>
        <v>0</v>
      </c>
      <c r="AD36" s="11"/>
      <c r="AE36" s="40"/>
      <c r="AF36" s="40"/>
    </row>
    <row r="37" spans="1:41" x14ac:dyDescent="0.25">
      <c r="A37" s="16"/>
      <c r="B37" s="16"/>
      <c r="C37" s="25"/>
      <c r="D37" s="25"/>
      <c r="E37" s="25"/>
      <c r="F37" s="25"/>
      <c r="G37" s="25"/>
      <c r="H37" s="25"/>
      <c r="I37" s="25"/>
      <c r="J37" s="25"/>
      <c r="K37" s="25"/>
      <c r="L37" s="25"/>
      <c r="M37" s="25"/>
      <c r="N37" s="25"/>
      <c r="O37" s="25"/>
      <c r="P37" s="25"/>
      <c r="Q37" s="25"/>
      <c r="R37" s="25"/>
      <c r="S37" s="25"/>
      <c r="T37" s="25"/>
      <c r="U37" s="25"/>
      <c r="V37" s="25"/>
      <c r="W37" s="24"/>
      <c r="X37" s="25"/>
      <c r="Y37" s="25"/>
      <c r="Z37" s="25"/>
      <c r="AA37" s="25"/>
      <c r="AB37" s="25"/>
      <c r="AC37" s="77"/>
      <c r="AD37" s="11"/>
      <c r="AE37" s="40"/>
      <c r="AF37" s="40"/>
    </row>
    <row r="38" spans="1:41" ht="15" customHeight="1" x14ac:dyDescent="0.25">
      <c r="A38" s="16"/>
      <c r="B38" s="16"/>
      <c r="C38" s="25"/>
      <c r="D38" s="25"/>
      <c r="E38" s="25"/>
      <c r="F38" s="25"/>
      <c r="G38" s="25"/>
      <c r="H38" s="25"/>
      <c r="I38" s="25"/>
      <c r="J38" s="25"/>
      <c r="K38" s="25"/>
      <c r="L38" s="25"/>
      <c r="M38" s="11"/>
      <c r="N38" s="11"/>
      <c r="O38" s="11"/>
      <c r="P38" s="11"/>
      <c r="Q38" s="11"/>
      <c r="R38" s="11"/>
      <c r="S38" s="11"/>
      <c r="T38" s="11"/>
      <c r="U38" s="11"/>
      <c r="V38" s="191"/>
      <c r="W38" s="241"/>
      <c r="X38" s="192"/>
      <c r="Y38" s="192"/>
      <c r="Z38" s="192"/>
      <c r="AA38" s="192"/>
      <c r="AB38" s="192"/>
      <c r="AC38" s="193"/>
      <c r="AD38" s="11"/>
      <c r="AE38" s="40"/>
      <c r="AF38" s="40"/>
    </row>
    <row r="39" spans="1:41" ht="15" customHeight="1" x14ac:dyDescent="0.25">
      <c r="A39" s="18"/>
      <c r="B39" s="96"/>
      <c r="C39" s="265" t="s">
        <v>29</v>
      </c>
      <c r="D39" s="266"/>
      <c r="E39" s="19"/>
      <c r="F39" s="19"/>
      <c r="G39" s="20"/>
      <c r="H39" s="21"/>
      <c r="I39" s="69"/>
      <c r="J39" s="264" t="s">
        <v>30</v>
      </c>
      <c r="K39" s="264"/>
      <c r="L39" s="22"/>
      <c r="M39" s="16"/>
      <c r="N39" s="16"/>
      <c r="O39" s="16"/>
      <c r="P39" s="16"/>
      <c r="Q39" s="16"/>
      <c r="R39" s="16"/>
      <c r="S39" s="11"/>
      <c r="T39" s="11"/>
      <c r="U39" s="11"/>
      <c r="V39" s="90"/>
      <c r="W39" s="241"/>
      <c r="X39" s="194"/>
      <c r="Y39" s="194"/>
      <c r="Z39" s="194"/>
      <c r="AA39" s="194"/>
      <c r="AB39" s="194"/>
      <c r="AC39" s="191"/>
      <c r="AD39" s="11"/>
      <c r="AE39" s="40"/>
      <c r="AF39" s="40"/>
    </row>
    <row r="40" spans="1:41" ht="15.75" customHeight="1" x14ac:dyDescent="0.25">
      <c r="A40" s="14"/>
      <c r="B40" s="95"/>
      <c r="C40" s="265" t="s">
        <v>31</v>
      </c>
      <c r="D40" s="266"/>
      <c r="E40" s="266"/>
      <c r="F40" s="111"/>
      <c r="G40" s="111"/>
      <c r="H40" s="14"/>
      <c r="I40" s="3"/>
      <c r="J40" s="266" t="s">
        <v>32</v>
      </c>
      <c r="K40" s="266"/>
      <c r="L40" s="30"/>
      <c r="M40" s="272"/>
      <c r="N40" s="272"/>
      <c r="O40" s="272"/>
      <c r="P40" s="272"/>
      <c r="Q40" s="272"/>
      <c r="R40" s="272"/>
      <c r="S40" s="11"/>
      <c r="T40" s="11"/>
      <c r="U40" s="11"/>
      <c r="V40" s="37"/>
      <c r="W40" s="241"/>
      <c r="X40" s="192"/>
      <c r="Y40" s="192"/>
      <c r="Z40" s="192"/>
      <c r="AA40" s="192"/>
      <c r="AB40" s="192"/>
      <c r="AC40" s="193"/>
      <c r="AD40" s="11"/>
      <c r="AE40" s="40"/>
      <c r="AF40" s="40"/>
    </row>
    <row r="41" spans="1:41" ht="16.5" customHeight="1" x14ac:dyDescent="0.25">
      <c r="A41" s="16"/>
      <c r="B41" s="4"/>
      <c r="C41" s="265" t="s">
        <v>33</v>
      </c>
      <c r="D41" s="266"/>
      <c r="E41" s="266"/>
      <c r="F41" s="266"/>
      <c r="G41" s="266"/>
      <c r="H41" s="14"/>
      <c r="I41" s="5"/>
      <c r="J41" s="266" t="s">
        <v>34</v>
      </c>
      <c r="K41" s="266"/>
      <c r="L41" s="31"/>
      <c r="M41" s="273"/>
      <c r="N41" s="273"/>
      <c r="O41" s="271"/>
      <c r="P41" s="271"/>
      <c r="Q41" s="274"/>
      <c r="R41" s="274"/>
      <c r="S41" s="11"/>
      <c r="T41" s="11"/>
      <c r="U41" s="11"/>
      <c r="V41" s="195"/>
      <c r="W41" s="241"/>
      <c r="X41" s="194"/>
      <c r="Y41" s="194"/>
      <c r="Z41" s="194"/>
      <c r="AA41" s="194"/>
      <c r="AB41" s="194"/>
      <c r="AC41" s="196"/>
      <c r="AD41" s="11"/>
      <c r="AE41" s="40"/>
      <c r="AF41" s="40"/>
    </row>
    <row r="42" spans="1:41" ht="15" customHeight="1" x14ac:dyDescent="0.25">
      <c r="A42" s="14"/>
      <c r="B42" s="67"/>
      <c r="C42" s="265" t="s">
        <v>36</v>
      </c>
      <c r="D42" s="266"/>
      <c r="E42" s="266"/>
      <c r="F42" s="266"/>
      <c r="G42" s="266"/>
      <c r="H42" s="266"/>
      <c r="I42" s="14"/>
      <c r="J42" s="111"/>
      <c r="K42" s="31"/>
      <c r="L42" s="31"/>
      <c r="M42" s="273"/>
      <c r="N42" s="273"/>
      <c r="O42" s="271"/>
      <c r="P42" s="271"/>
      <c r="Q42" s="237"/>
      <c r="R42" s="237"/>
      <c r="S42" s="11"/>
      <c r="T42" s="11"/>
      <c r="U42" s="11"/>
      <c r="V42" s="31"/>
      <c r="W42" s="31"/>
      <c r="X42" s="31"/>
      <c r="Y42" s="11"/>
      <c r="Z42" s="11"/>
      <c r="AA42" s="11"/>
      <c r="AB42" s="11"/>
      <c r="AC42" s="11"/>
      <c r="AD42" s="11"/>
      <c r="AE42" s="40"/>
      <c r="AF42" s="40"/>
    </row>
    <row r="43" spans="1:41" ht="15.75" customHeight="1" x14ac:dyDescent="0.25">
      <c r="A43" s="14"/>
      <c r="B43" s="14"/>
      <c r="C43" s="12"/>
      <c r="D43" s="12"/>
      <c r="E43" s="12"/>
      <c r="F43" s="12"/>
      <c r="G43" s="12"/>
      <c r="H43" s="12"/>
      <c r="I43" s="12"/>
      <c r="J43" s="12"/>
      <c r="K43" s="12"/>
      <c r="L43" s="12"/>
      <c r="M43" s="270"/>
      <c r="N43" s="270"/>
      <c r="O43" s="237"/>
      <c r="P43" s="237"/>
      <c r="Q43" s="236"/>
      <c r="R43" s="236"/>
      <c r="S43" s="11"/>
      <c r="T43" s="11"/>
      <c r="U43" s="11"/>
      <c r="V43" s="86"/>
      <c r="W43" s="243" t="s">
        <v>35</v>
      </c>
      <c r="X43" s="243"/>
      <c r="Y43" s="244"/>
      <c r="Z43" s="245">
        <f>ROUNDUP(SUM(H14,O14,V14,AC14,H25,O25,V25,AC25,H36,O36,V36,AC36,AC41)+IF(C50&gt;1,0.5,0)+IF(C51&gt;1,0.5,0),1)</f>
        <v>0</v>
      </c>
      <c r="AA43" s="246"/>
      <c r="AB43" s="249" t="e">
        <f>IF((Z43=X2),"ü","û")</f>
        <v>#N/A</v>
      </c>
      <c r="AC43" s="11"/>
      <c r="AD43" s="11"/>
      <c r="AE43" s="40"/>
      <c r="AF43" s="40"/>
    </row>
    <row r="44" spans="1:41" ht="15" customHeight="1" x14ac:dyDescent="0.25">
      <c r="A44" s="14"/>
      <c r="B44" s="11"/>
      <c r="C44" s="11"/>
      <c r="D44" s="11"/>
      <c r="E44" s="11"/>
      <c r="F44" s="11"/>
      <c r="G44" s="11"/>
      <c r="H44" s="11"/>
      <c r="I44" s="11"/>
      <c r="J44" s="11"/>
      <c r="K44" s="11"/>
      <c r="L44" s="16"/>
      <c r="M44" s="235"/>
      <c r="N44" s="235"/>
      <c r="O44" s="235"/>
      <c r="P44" s="235"/>
      <c r="Q44" s="235"/>
      <c r="R44" s="235"/>
      <c r="S44" s="87"/>
      <c r="T44" s="11"/>
      <c r="U44" s="11"/>
      <c r="V44" s="11"/>
      <c r="W44" s="243"/>
      <c r="X44" s="243"/>
      <c r="Y44" s="244"/>
      <c r="Z44" s="247"/>
      <c r="AA44" s="248"/>
      <c r="AB44" s="249"/>
      <c r="AC44" s="11"/>
      <c r="AD44" s="11"/>
      <c r="AE44" s="40"/>
      <c r="AF44" s="40"/>
    </row>
    <row r="45" spans="1:41" ht="17.25" customHeight="1" x14ac:dyDescent="0.25">
      <c r="A45" s="14"/>
      <c r="B45" s="11"/>
      <c r="C45" s="11"/>
      <c r="D45" s="11"/>
      <c r="E45" s="11"/>
      <c r="F45" s="11"/>
      <c r="G45" s="11"/>
      <c r="H45" s="11"/>
      <c r="I45" s="11"/>
      <c r="J45" s="11"/>
      <c r="K45" s="11"/>
      <c r="L45" s="16"/>
      <c r="M45" s="235"/>
      <c r="N45" s="235"/>
      <c r="O45" s="235"/>
      <c r="P45" s="235"/>
      <c r="Q45" s="235"/>
      <c r="R45" s="235"/>
      <c r="S45" s="11"/>
      <c r="T45" s="11"/>
      <c r="U45" s="11"/>
      <c r="V45" s="11"/>
      <c r="W45" s="11"/>
      <c r="X45" s="242" t="s">
        <v>50</v>
      </c>
      <c r="Y45" s="242"/>
      <c r="Z45" s="242"/>
      <c r="AA45" s="242"/>
      <c r="AB45" s="16"/>
      <c r="AC45" s="11"/>
      <c r="AD45" s="68"/>
      <c r="AE45" s="85"/>
      <c r="AF45" s="85"/>
      <c r="AG45" s="85"/>
      <c r="AH45" s="85"/>
      <c r="AI45" s="85"/>
      <c r="AJ45" s="85"/>
      <c r="AK45" s="85"/>
      <c r="AL45" s="85"/>
      <c r="AM45" s="85"/>
      <c r="AN45" s="85"/>
      <c r="AO45" s="40"/>
    </row>
    <row r="46" spans="1:41" ht="15.75" thickBot="1" x14ac:dyDescent="0.3">
      <c r="A46" s="14"/>
      <c r="B46" s="11"/>
      <c r="C46" s="11"/>
      <c r="D46" s="11"/>
      <c r="E46" s="11"/>
      <c r="F46" s="11"/>
      <c r="G46" s="11"/>
      <c r="H46" s="11"/>
      <c r="I46" s="11"/>
      <c r="J46" s="11"/>
      <c r="K46" s="11"/>
      <c r="L46" s="11"/>
      <c r="M46" s="221" t="s">
        <v>572</v>
      </c>
      <c r="N46" s="221"/>
      <c r="O46" s="221"/>
      <c r="P46" s="221"/>
      <c r="Q46" s="221"/>
      <c r="R46" s="221"/>
      <c r="S46" s="221"/>
      <c r="T46" s="221"/>
      <c r="U46" s="221"/>
      <c r="V46" s="221"/>
      <c r="W46" s="221"/>
      <c r="X46" s="221"/>
      <c r="Y46" s="221"/>
      <c r="Z46" s="221"/>
      <c r="AA46" s="221"/>
      <c r="AB46" s="221"/>
      <c r="AC46" s="221"/>
      <c r="AD46" s="68"/>
      <c r="AE46" s="85"/>
      <c r="AF46" s="85"/>
      <c r="AG46" s="85"/>
      <c r="AH46" s="85"/>
      <c r="AI46" s="85"/>
      <c r="AJ46" s="85"/>
      <c r="AK46" s="85"/>
      <c r="AL46" s="85"/>
      <c r="AM46" s="85"/>
      <c r="AN46" s="85"/>
      <c r="AO46" s="40"/>
    </row>
    <row r="47" spans="1:41" ht="15" customHeight="1" x14ac:dyDescent="0.25">
      <c r="A47" s="14"/>
      <c r="B47" s="267" t="s">
        <v>37</v>
      </c>
      <c r="C47" s="268"/>
      <c r="D47" s="268"/>
      <c r="E47" s="268"/>
      <c r="F47" s="268"/>
      <c r="G47" s="268"/>
      <c r="H47" s="268"/>
      <c r="I47" s="268"/>
      <c r="J47" s="268"/>
      <c r="K47" s="269"/>
      <c r="L47" s="14"/>
      <c r="M47" s="221"/>
      <c r="N47" s="221"/>
      <c r="O47" s="221"/>
      <c r="P47" s="221"/>
      <c r="Q47" s="221"/>
      <c r="R47" s="221"/>
      <c r="S47" s="221"/>
      <c r="T47" s="221"/>
      <c r="U47" s="221"/>
      <c r="V47" s="221"/>
      <c r="W47" s="221"/>
      <c r="X47" s="221"/>
      <c r="Y47" s="221"/>
      <c r="Z47" s="221"/>
      <c r="AA47" s="221"/>
      <c r="AB47" s="221"/>
      <c r="AC47" s="221"/>
      <c r="AD47" s="11"/>
      <c r="AE47" s="40"/>
      <c r="AF47" s="40"/>
    </row>
    <row r="48" spans="1:41" ht="15" customHeight="1" x14ac:dyDescent="0.25">
      <c r="A48" s="14"/>
      <c r="B48" s="227" t="s">
        <v>38</v>
      </c>
      <c r="C48" s="228"/>
      <c r="D48" s="228"/>
      <c r="E48" s="228"/>
      <c r="F48" s="228"/>
      <c r="G48" s="228"/>
      <c r="H48" s="228"/>
      <c r="I48" s="228"/>
      <c r="J48" s="228"/>
      <c r="K48" s="229"/>
      <c r="L48" s="14"/>
      <c r="M48" s="224"/>
      <c r="N48" s="224"/>
      <c r="O48" s="224"/>
      <c r="P48" s="224"/>
      <c r="Q48" s="224"/>
      <c r="R48" s="224"/>
      <c r="S48" s="224"/>
      <c r="T48" s="224"/>
      <c r="U48" s="224"/>
      <c r="V48" s="224"/>
      <c r="W48" s="224"/>
      <c r="X48" s="224"/>
      <c r="Y48" s="224"/>
      <c r="Z48" s="56"/>
      <c r="AA48" s="56"/>
      <c r="AB48" s="56"/>
      <c r="AC48" s="56"/>
      <c r="AD48" s="11"/>
      <c r="AE48" s="40"/>
      <c r="AF48" s="40"/>
    </row>
    <row r="49" spans="1:32" x14ac:dyDescent="0.25">
      <c r="A49" s="14"/>
      <c r="B49" s="227"/>
      <c r="C49" s="228"/>
      <c r="D49" s="228"/>
      <c r="E49" s="228"/>
      <c r="F49" s="228"/>
      <c r="G49" s="228"/>
      <c r="H49" s="228"/>
      <c r="I49" s="228"/>
      <c r="J49" s="228"/>
      <c r="K49" s="229"/>
      <c r="L49" s="14"/>
      <c r="M49" s="225"/>
      <c r="N49" s="225"/>
      <c r="O49" s="225"/>
      <c r="P49" s="225"/>
      <c r="Q49" s="225"/>
      <c r="R49" s="225"/>
      <c r="S49" s="225"/>
      <c r="T49" s="225"/>
      <c r="U49" s="225"/>
      <c r="V49" s="225"/>
      <c r="W49" s="225"/>
      <c r="X49" s="225"/>
      <c r="Y49" s="225"/>
      <c r="Z49" s="56"/>
      <c r="AA49" s="56"/>
      <c r="AB49" s="56"/>
      <c r="AC49" s="56"/>
      <c r="AD49" s="11"/>
      <c r="AE49" s="40"/>
      <c r="AF49" s="40"/>
    </row>
    <row r="50" spans="1:32" x14ac:dyDescent="0.25">
      <c r="A50" s="16"/>
      <c r="B50" s="115" t="s">
        <v>39</v>
      </c>
      <c r="C50" s="233"/>
      <c r="D50" s="233"/>
      <c r="E50" s="233"/>
      <c r="F50" s="114">
        <v>0.5</v>
      </c>
      <c r="G50" s="13" t="s">
        <v>183</v>
      </c>
      <c r="H50" s="233"/>
      <c r="I50" s="233"/>
      <c r="J50" s="222" t="s">
        <v>185</v>
      </c>
      <c r="K50" s="223"/>
      <c r="L50" s="14"/>
      <c r="M50" s="38" t="s">
        <v>186</v>
      </c>
      <c r="N50" s="117"/>
      <c r="O50" s="117"/>
      <c r="P50" s="117"/>
      <c r="Q50" s="117"/>
      <c r="R50" s="117"/>
      <c r="S50" s="117"/>
      <c r="T50" s="14"/>
      <c r="U50" s="14"/>
      <c r="V50" s="14"/>
      <c r="W50" s="14"/>
      <c r="X50" s="14"/>
      <c r="Y50" s="14"/>
      <c r="Z50" s="56"/>
      <c r="AA50" s="56"/>
      <c r="AB50" s="56"/>
      <c r="AC50" s="56"/>
      <c r="AD50" s="11"/>
      <c r="AE50" s="40"/>
      <c r="AF50" s="40"/>
    </row>
    <row r="51" spans="1:32" x14ac:dyDescent="0.25">
      <c r="A51" s="14"/>
      <c r="B51" s="116" t="s">
        <v>40</v>
      </c>
      <c r="C51" s="233"/>
      <c r="D51" s="233"/>
      <c r="E51" s="233"/>
      <c r="F51" s="114">
        <v>0.5</v>
      </c>
      <c r="G51" s="15" t="s">
        <v>184</v>
      </c>
      <c r="H51" s="234"/>
      <c r="I51" s="234"/>
      <c r="J51" s="222" t="s">
        <v>185</v>
      </c>
      <c r="K51" s="223"/>
      <c r="L51" s="14"/>
      <c r="M51" s="226"/>
      <c r="N51" s="226"/>
      <c r="O51" s="226"/>
      <c r="P51" s="226"/>
      <c r="Q51" s="226"/>
      <c r="R51" s="226"/>
      <c r="S51" s="226"/>
      <c r="T51" s="226"/>
      <c r="U51" s="226"/>
      <c r="V51" s="226"/>
      <c r="W51" s="226"/>
      <c r="X51" s="226"/>
      <c r="Y51" s="226"/>
      <c r="Z51" s="56"/>
      <c r="AA51" s="56"/>
      <c r="AB51" s="56"/>
      <c r="AC51" s="56"/>
      <c r="AD51" s="11"/>
      <c r="AE51" s="40"/>
      <c r="AF51" s="40"/>
    </row>
    <row r="52" spans="1:32" ht="15.75" thickBot="1" x14ac:dyDescent="0.3">
      <c r="A52" s="16"/>
      <c r="B52" s="17"/>
      <c r="C52" s="80"/>
      <c r="D52" s="81"/>
      <c r="E52" s="113"/>
      <c r="F52" s="113"/>
      <c r="G52" s="113"/>
      <c r="H52" s="82"/>
      <c r="I52" s="83"/>
      <c r="J52" s="83"/>
      <c r="K52" s="84"/>
      <c r="L52" s="14"/>
      <c r="M52" s="226"/>
      <c r="N52" s="226"/>
      <c r="O52" s="226"/>
      <c r="P52" s="226"/>
      <c r="Q52" s="226"/>
      <c r="R52" s="226"/>
      <c r="S52" s="226"/>
      <c r="T52" s="226"/>
      <c r="U52" s="226"/>
      <c r="V52" s="226"/>
      <c r="W52" s="226"/>
      <c r="X52" s="226"/>
      <c r="Y52" s="226"/>
      <c r="Z52" s="56"/>
      <c r="AA52" s="56"/>
      <c r="AB52" s="56"/>
      <c r="AC52" s="56"/>
      <c r="AD52" s="11"/>
      <c r="AE52" s="40"/>
      <c r="AF52" s="40"/>
    </row>
    <row r="53" spans="1:32" ht="15.75" thickBot="1" x14ac:dyDescent="0.3">
      <c r="A53" s="16"/>
      <c r="B53" s="16"/>
      <c r="C53" s="16"/>
      <c r="D53" s="16"/>
      <c r="E53" s="16"/>
      <c r="F53" s="16"/>
      <c r="G53" s="16"/>
      <c r="H53" s="16"/>
      <c r="I53" s="16"/>
      <c r="J53" s="16"/>
      <c r="K53" s="16"/>
      <c r="L53" s="16"/>
      <c r="M53" s="112" t="s">
        <v>208</v>
      </c>
      <c r="N53" s="112"/>
      <c r="O53" s="112"/>
      <c r="P53" s="112"/>
      <c r="Q53" s="112"/>
      <c r="R53" s="30"/>
      <c r="S53" s="30"/>
      <c r="T53" s="30"/>
      <c r="U53" s="30"/>
      <c r="V53" s="30"/>
      <c r="W53" s="30"/>
      <c r="X53" s="30"/>
      <c r="Y53" s="30"/>
      <c r="Z53" s="16"/>
      <c r="AA53" s="16"/>
      <c r="AB53" s="16"/>
      <c r="AC53" s="16"/>
      <c r="AD53" s="11"/>
      <c r="AE53" s="40"/>
      <c r="AF53" s="40"/>
    </row>
    <row r="54" spans="1:32" ht="36.75" customHeight="1" thickBot="1" x14ac:dyDescent="0.3">
      <c r="A54" s="11"/>
      <c r="B54" s="230" t="s">
        <v>568</v>
      </c>
      <c r="C54" s="231"/>
      <c r="D54" s="231"/>
      <c r="E54" s="231"/>
      <c r="F54" s="231"/>
      <c r="G54" s="231"/>
      <c r="H54" s="231"/>
      <c r="I54" s="231"/>
      <c r="J54" s="231"/>
      <c r="K54" s="231"/>
      <c r="L54" s="231"/>
      <c r="M54" s="231"/>
      <c r="N54" s="231"/>
      <c r="O54" s="231"/>
      <c r="P54" s="231"/>
      <c r="Q54" s="231"/>
      <c r="R54" s="231"/>
      <c r="S54" s="231"/>
      <c r="T54" s="231"/>
      <c r="U54" s="231"/>
      <c r="V54" s="231"/>
      <c r="W54" s="231"/>
      <c r="X54" s="231"/>
      <c r="Y54" s="231"/>
      <c r="Z54" s="231"/>
      <c r="AA54" s="231"/>
      <c r="AB54" s="231"/>
      <c r="AC54" s="232"/>
      <c r="AD54" s="11"/>
    </row>
    <row r="55" spans="1:32" x14ac:dyDescent="0.25">
      <c r="A55" s="40"/>
      <c r="AD55" s="40"/>
    </row>
  </sheetData>
  <sheetProtection algorithmName="SHA-512" hashValue="ekZOIzu8PIU0Wx66w6SfBYe9S1M27LY+O783kWCoYFq9zGLcFeg1veQsn9BrWdOa4eyCgtVCaqomHn55kB1CNQ==" saltValue="perTjRYan/rNbSfSjLZmXw==" spinCount="100000" sheet="1" selectLockedCells="1"/>
  <mergeCells count="60">
    <mergeCell ref="P1:T1"/>
    <mergeCell ref="B2:C2"/>
    <mergeCell ref="C40:E40"/>
    <mergeCell ref="J40:K40"/>
    <mergeCell ref="V1:W1"/>
    <mergeCell ref="D2:I2"/>
    <mergeCell ref="O2:T2"/>
    <mergeCell ref="J2:K2"/>
    <mergeCell ref="B1:C1"/>
    <mergeCell ref="D1:L1"/>
    <mergeCell ref="U2:W2"/>
    <mergeCell ref="B5:B14"/>
    <mergeCell ref="I5:I14"/>
    <mergeCell ref="P5:P14"/>
    <mergeCell ref="M1:O1"/>
    <mergeCell ref="C39:D39"/>
    <mergeCell ref="M43:N43"/>
    <mergeCell ref="O41:P42"/>
    <mergeCell ref="J41:K41"/>
    <mergeCell ref="M40:R40"/>
    <mergeCell ref="M41:N42"/>
    <mergeCell ref="Q41:R41"/>
    <mergeCell ref="O43:P43"/>
    <mergeCell ref="C42:H42"/>
    <mergeCell ref="B47:K47"/>
    <mergeCell ref="C41:G41"/>
    <mergeCell ref="B16:B25"/>
    <mergeCell ref="I16:I25"/>
    <mergeCell ref="W16:W25"/>
    <mergeCell ref="B27:B36"/>
    <mergeCell ref="I27:I36"/>
    <mergeCell ref="P27:P36"/>
    <mergeCell ref="J39:K39"/>
    <mergeCell ref="M44:R45"/>
    <mergeCell ref="Q43:R43"/>
    <mergeCell ref="Q42:R42"/>
    <mergeCell ref="AC1:AD1"/>
    <mergeCell ref="W27:W36"/>
    <mergeCell ref="W38:W41"/>
    <mergeCell ref="X45:AA45"/>
    <mergeCell ref="W43:Y44"/>
    <mergeCell ref="Z43:AA44"/>
    <mergeCell ref="AB43:AB44"/>
    <mergeCell ref="X2:Y2"/>
    <mergeCell ref="X1:Y1"/>
    <mergeCell ref="W5:W14"/>
    <mergeCell ref="AA1:AB1"/>
    <mergeCell ref="M2:N2"/>
    <mergeCell ref="P16:P25"/>
    <mergeCell ref="B54:AC54"/>
    <mergeCell ref="C50:E50"/>
    <mergeCell ref="C51:E51"/>
    <mergeCell ref="H50:I50"/>
    <mergeCell ref="H51:I51"/>
    <mergeCell ref="M46:AC47"/>
    <mergeCell ref="J50:K50"/>
    <mergeCell ref="J51:K51"/>
    <mergeCell ref="M48:Y49"/>
    <mergeCell ref="M51:Y52"/>
    <mergeCell ref="B48:K49"/>
  </mergeCells>
  <conditionalFormatting sqref="Z43">
    <cfRule type="cellIs" dxfId="2081" priority="37213" operator="lessThan">
      <formula>$X$2</formula>
    </cfRule>
    <cfRule type="cellIs" dxfId="2080" priority="37214" operator="greaterThan">
      <formula>$X$2</formula>
    </cfRule>
  </conditionalFormatting>
  <conditionalFormatting sqref="M41">
    <cfRule type="cellIs" dxfId="2079" priority="30543" operator="greaterThan">
      <formula>0</formula>
    </cfRule>
  </conditionalFormatting>
  <conditionalFormatting sqref="D1:L1">
    <cfRule type="containsBlanks" dxfId="2078" priority="7598">
      <formula>LEN(TRIM(D1))=0</formula>
    </cfRule>
  </conditionalFormatting>
  <conditionalFormatting sqref="P1:T1">
    <cfRule type="containsBlanks" dxfId="2077" priority="7597">
      <formula>LEN(TRIM(P1))=0</formula>
    </cfRule>
  </conditionalFormatting>
  <conditionalFormatting sqref="D2">
    <cfRule type="containsBlanks" dxfId="2076" priority="7596">
      <formula>LEN(TRIM(D2))=0</formula>
    </cfRule>
  </conditionalFormatting>
  <conditionalFormatting sqref="L2">
    <cfRule type="containsBlanks" dxfId="2075" priority="7595">
      <formula>LEN(TRIM(L2))=0</formula>
    </cfRule>
  </conditionalFormatting>
  <conditionalFormatting sqref="O2">
    <cfRule type="containsBlanks" dxfId="2074" priority="7594">
      <formula>LEN(TRIM(O2))=0</formula>
    </cfRule>
  </conditionalFormatting>
  <conditionalFormatting sqref="X1:Y1">
    <cfRule type="containsBlanks" dxfId="2073" priority="7593">
      <formula>LEN(TRIM(X1))=0</formula>
    </cfRule>
  </conditionalFormatting>
  <conditionalFormatting sqref="C50:E51 H50:I51">
    <cfRule type="containsBlanks" dxfId="2072" priority="7592">
      <formula>LEN(TRIM(C50))=0</formula>
    </cfRule>
  </conditionalFormatting>
  <conditionalFormatting sqref="Y40:AB40">
    <cfRule type="cellIs" dxfId="2071" priority="5123" operator="greaterThanOrEqual">
      <formula>6</formula>
    </cfRule>
    <cfRule type="cellIs" dxfId="2070" priority="5124" operator="between">
      <formula>0.1</formula>
      <formula>5.9</formula>
    </cfRule>
    <cfRule type="expression" dxfId="2069" priority="5127">
      <formula>Y41=""</formula>
    </cfRule>
  </conditionalFormatting>
  <conditionalFormatting sqref="X40">
    <cfRule type="cellIs" dxfId="2068" priority="5117" operator="greaterThanOrEqual">
      <formula>6</formula>
    </cfRule>
    <cfRule type="cellIs" dxfId="2067" priority="5118" operator="between">
      <formula>0.1</formula>
      <formula>5.9</formula>
    </cfRule>
    <cfRule type="expression" dxfId="2066" priority="5121">
      <formula>X41=""</formula>
    </cfRule>
  </conditionalFormatting>
  <conditionalFormatting sqref="Y38:AB38">
    <cfRule type="cellIs" dxfId="2065" priority="5106" operator="greaterThanOrEqual">
      <formula>6</formula>
    </cfRule>
    <cfRule type="cellIs" dxfId="2064" priority="5107" operator="between">
      <formula>0.1</formula>
      <formula>5.9</formula>
    </cfRule>
    <cfRule type="expression" dxfId="2063" priority="5110">
      <formula>Y39=""</formula>
    </cfRule>
  </conditionalFormatting>
  <conditionalFormatting sqref="X38">
    <cfRule type="cellIs" dxfId="2062" priority="5095" operator="greaterThanOrEqual">
      <formula>6</formula>
    </cfRule>
    <cfRule type="cellIs" dxfId="2061" priority="5096" operator="between">
      <formula>0.1</formula>
      <formula>5.9</formula>
    </cfRule>
    <cfRule type="expression" dxfId="2060" priority="5099">
      <formula>X39=""</formula>
    </cfRule>
  </conditionalFormatting>
  <conditionalFormatting sqref="C5">
    <cfRule type="cellIs" dxfId="2059" priority="5090" operator="greaterThanOrEqual">
      <formula>6</formula>
    </cfRule>
    <cfRule type="cellIs" dxfId="2058" priority="5091" operator="between">
      <formula>0.1</formula>
      <formula>5.9</formula>
    </cfRule>
    <cfRule type="expression" dxfId="2057" priority="5093">
      <formula>C6=""</formula>
    </cfRule>
  </conditionalFormatting>
  <conditionalFormatting sqref="D5:G5">
    <cfRule type="cellIs" dxfId="2056" priority="2791" operator="greaterThanOrEqual">
      <formula>6</formula>
    </cfRule>
    <cfRule type="cellIs" dxfId="2055" priority="2792" operator="between">
      <formula>0.1</formula>
      <formula>5.9</formula>
    </cfRule>
    <cfRule type="expression" dxfId="2054" priority="2794">
      <formula>D6=""</formula>
    </cfRule>
  </conditionalFormatting>
  <conditionalFormatting sqref="C7">
    <cfRule type="cellIs" dxfId="2053" priority="2779" operator="greaterThanOrEqual">
      <formula>6</formula>
    </cfRule>
    <cfRule type="cellIs" dxfId="2052" priority="2780" operator="between">
      <formula>0.1</formula>
      <formula>5.9</formula>
    </cfRule>
    <cfRule type="expression" dxfId="2051" priority="2782">
      <formula>C8=""</formula>
    </cfRule>
  </conditionalFormatting>
  <conditionalFormatting sqref="D7:G7">
    <cfRule type="cellIs" dxfId="2050" priority="2767" operator="greaterThanOrEqual">
      <formula>6</formula>
    </cfRule>
    <cfRule type="cellIs" dxfId="2049" priority="2768" operator="between">
      <formula>0.1</formula>
      <formula>5.9</formula>
    </cfRule>
    <cfRule type="expression" dxfId="2048" priority="2770">
      <formula>D8=""</formula>
    </cfRule>
  </conditionalFormatting>
  <conditionalFormatting sqref="C9">
    <cfRule type="cellIs" dxfId="2047" priority="2755" operator="greaterThanOrEqual">
      <formula>6</formula>
    </cfRule>
    <cfRule type="cellIs" dxfId="2046" priority="2756" operator="between">
      <formula>0.1</formula>
      <formula>5.9</formula>
    </cfRule>
    <cfRule type="expression" dxfId="2045" priority="2758">
      <formula>C10=""</formula>
    </cfRule>
  </conditionalFormatting>
  <conditionalFormatting sqref="D9:G9">
    <cfRule type="cellIs" dxfId="2044" priority="2743" operator="greaterThanOrEqual">
      <formula>6</formula>
    </cfRule>
    <cfRule type="cellIs" dxfId="2043" priority="2744" operator="between">
      <formula>0.1</formula>
      <formula>5.9</formula>
    </cfRule>
    <cfRule type="expression" dxfId="2042" priority="2746">
      <formula>D10=""</formula>
    </cfRule>
  </conditionalFormatting>
  <conditionalFormatting sqref="C11">
    <cfRule type="cellIs" dxfId="2041" priority="2731" operator="greaterThanOrEqual">
      <formula>6</formula>
    </cfRule>
    <cfRule type="cellIs" dxfId="2040" priority="2732" operator="between">
      <formula>0.1</formula>
      <formula>5.9</formula>
    </cfRule>
    <cfRule type="expression" dxfId="2039" priority="2734">
      <formula>C12=""</formula>
    </cfRule>
  </conditionalFormatting>
  <conditionalFormatting sqref="D11:G11">
    <cfRule type="cellIs" dxfId="2038" priority="2719" operator="greaterThanOrEqual">
      <formula>6</formula>
    </cfRule>
    <cfRule type="cellIs" dxfId="2037" priority="2720" operator="between">
      <formula>0.1</formula>
      <formula>5.9</formula>
    </cfRule>
    <cfRule type="expression" dxfId="2036" priority="2722">
      <formula>D12=""</formula>
    </cfRule>
  </conditionalFormatting>
  <conditionalFormatting sqref="C13">
    <cfRule type="cellIs" dxfId="2035" priority="2707" operator="greaterThanOrEqual">
      <formula>6</formula>
    </cfRule>
    <cfRule type="cellIs" dxfId="2034" priority="2708" operator="between">
      <formula>0.1</formula>
      <formula>5.9</formula>
    </cfRule>
    <cfRule type="expression" dxfId="2033" priority="2710">
      <formula>C14=""</formula>
    </cfRule>
  </conditionalFormatting>
  <conditionalFormatting sqref="D13:G13">
    <cfRule type="cellIs" dxfId="2032" priority="2695" operator="greaterThanOrEqual">
      <formula>6</formula>
    </cfRule>
    <cfRule type="cellIs" dxfId="2031" priority="2696" operator="between">
      <formula>0.1</formula>
      <formula>5.9</formula>
    </cfRule>
    <cfRule type="expression" dxfId="2030" priority="2698">
      <formula>D14=""</formula>
    </cfRule>
  </conditionalFormatting>
  <conditionalFormatting sqref="J5">
    <cfRule type="cellIs" dxfId="2029" priority="1318" operator="greaterThanOrEqual">
      <formula>6</formula>
    </cfRule>
    <cfRule type="cellIs" dxfId="2028" priority="1319" operator="between">
      <formula>0.1</formula>
      <formula>5.9</formula>
    </cfRule>
    <cfRule type="expression" dxfId="2027" priority="1321">
      <formula>J6=""</formula>
    </cfRule>
  </conditionalFormatting>
  <conditionalFormatting sqref="K5:N5">
    <cfRule type="cellIs" dxfId="2026" priority="1306" operator="greaterThanOrEqual">
      <formula>6</formula>
    </cfRule>
    <cfRule type="cellIs" dxfId="2025" priority="1307" operator="between">
      <formula>0.1</formula>
      <formula>5.9</formula>
    </cfRule>
    <cfRule type="expression" dxfId="2024" priority="1309">
      <formula>K6=""</formula>
    </cfRule>
  </conditionalFormatting>
  <conditionalFormatting sqref="J7">
    <cfRule type="cellIs" dxfId="2023" priority="1299" operator="greaterThanOrEqual">
      <formula>6</formula>
    </cfRule>
    <cfRule type="cellIs" dxfId="2022" priority="1300" operator="between">
      <formula>0.1</formula>
      <formula>5.9</formula>
    </cfRule>
    <cfRule type="expression" dxfId="2021" priority="1302">
      <formula>J8=""</formula>
    </cfRule>
  </conditionalFormatting>
  <conditionalFormatting sqref="K7:N7">
    <cfRule type="cellIs" dxfId="2020" priority="1292" operator="greaterThanOrEqual">
      <formula>6</formula>
    </cfRule>
    <cfRule type="cellIs" dxfId="2019" priority="1293" operator="between">
      <formula>0.1</formula>
      <formula>5.9</formula>
    </cfRule>
    <cfRule type="expression" dxfId="2018" priority="1295">
      <formula>K8=""</formula>
    </cfRule>
  </conditionalFormatting>
  <conditionalFormatting sqref="J9">
    <cfRule type="cellIs" dxfId="2017" priority="1285" operator="greaterThanOrEqual">
      <formula>6</formula>
    </cfRule>
    <cfRule type="cellIs" dxfId="2016" priority="1286" operator="between">
      <formula>0.1</formula>
      <formula>5.9</formula>
    </cfRule>
    <cfRule type="expression" dxfId="2015" priority="1288">
      <formula>J10=""</formula>
    </cfRule>
  </conditionalFormatting>
  <conditionalFormatting sqref="K9:N9">
    <cfRule type="cellIs" dxfId="2014" priority="1278" operator="greaterThanOrEqual">
      <formula>6</formula>
    </cfRule>
    <cfRule type="cellIs" dxfId="2013" priority="1279" operator="between">
      <formula>0.1</formula>
      <formula>5.9</formula>
    </cfRule>
    <cfRule type="expression" dxfId="2012" priority="1281">
      <formula>K10=""</formula>
    </cfRule>
  </conditionalFormatting>
  <conditionalFormatting sqref="J11">
    <cfRule type="cellIs" dxfId="2011" priority="1271" operator="greaterThanOrEqual">
      <formula>6</formula>
    </cfRule>
    <cfRule type="cellIs" dxfId="2010" priority="1272" operator="between">
      <formula>0.1</formula>
      <formula>5.9</formula>
    </cfRule>
    <cfRule type="expression" dxfId="2009" priority="1274">
      <formula>J12=""</formula>
    </cfRule>
  </conditionalFormatting>
  <conditionalFormatting sqref="K11:N11">
    <cfRule type="cellIs" dxfId="2008" priority="1264" operator="greaterThanOrEqual">
      <formula>6</formula>
    </cfRule>
    <cfRule type="cellIs" dxfId="2007" priority="1265" operator="between">
      <formula>0.1</formula>
      <formula>5.9</formula>
    </cfRule>
    <cfRule type="expression" dxfId="2006" priority="1267">
      <formula>K12=""</formula>
    </cfRule>
  </conditionalFormatting>
  <conditionalFormatting sqref="J13">
    <cfRule type="cellIs" dxfId="2005" priority="1257" operator="greaterThanOrEqual">
      <formula>6</formula>
    </cfRule>
    <cfRule type="cellIs" dxfId="2004" priority="1258" operator="between">
      <formula>0.1</formula>
      <formula>5.9</formula>
    </cfRule>
    <cfRule type="expression" dxfId="2003" priority="1260">
      <formula>J14=""</formula>
    </cfRule>
  </conditionalFormatting>
  <conditionalFormatting sqref="K13:N13">
    <cfRule type="cellIs" dxfId="2002" priority="1250" operator="greaterThanOrEqual">
      <formula>6</formula>
    </cfRule>
    <cfRule type="cellIs" dxfId="2001" priority="1251" operator="between">
      <formula>0.1</formula>
      <formula>5.9</formula>
    </cfRule>
    <cfRule type="expression" dxfId="2000" priority="1253">
      <formula>K14=""</formula>
    </cfRule>
  </conditionalFormatting>
  <conditionalFormatting sqref="Q5">
    <cfRule type="cellIs" dxfId="1999" priority="1198" operator="greaterThanOrEqual">
      <formula>6</formula>
    </cfRule>
    <cfRule type="cellIs" dxfId="1998" priority="1199" operator="between">
      <formula>0.1</formula>
      <formula>5.9</formula>
    </cfRule>
    <cfRule type="expression" dxfId="1997" priority="1201">
      <formula>Q6=""</formula>
    </cfRule>
  </conditionalFormatting>
  <conditionalFormatting sqref="R5:U5">
    <cfRule type="cellIs" dxfId="1996" priority="1186" operator="greaterThanOrEqual">
      <formula>6</formula>
    </cfRule>
    <cfRule type="cellIs" dxfId="1995" priority="1187" operator="between">
      <formula>0.1</formula>
      <formula>5.9</formula>
    </cfRule>
    <cfRule type="expression" dxfId="1994" priority="1189">
      <formula>R6=""</formula>
    </cfRule>
  </conditionalFormatting>
  <conditionalFormatting sqref="Q7">
    <cfRule type="cellIs" dxfId="1993" priority="1179" operator="greaterThanOrEqual">
      <formula>6</formula>
    </cfRule>
    <cfRule type="cellIs" dxfId="1992" priority="1180" operator="between">
      <formula>0.1</formula>
      <formula>5.9</formula>
    </cfRule>
    <cfRule type="expression" dxfId="1991" priority="1182">
      <formula>Q8=""</formula>
    </cfRule>
  </conditionalFormatting>
  <conditionalFormatting sqref="R7:U7">
    <cfRule type="cellIs" dxfId="1990" priority="1172" operator="greaterThanOrEqual">
      <formula>6</formula>
    </cfRule>
    <cfRule type="cellIs" dxfId="1989" priority="1173" operator="between">
      <formula>0.1</formula>
      <formula>5.9</formula>
    </cfRule>
    <cfRule type="expression" dxfId="1988" priority="1175">
      <formula>R8=""</formula>
    </cfRule>
  </conditionalFormatting>
  <conditionalFormatting sqref="Q9">
    <cfRule type="cellIs" dxfId="1987" priority="1165" operator="greaterThanOrEqual">
      <formula>6</formula>
    </cfRule>
    <cfRule type="cellIs" dxfId="1986" priority="1166" operator="between">
      <formula>0.1</formula>
      <formula>5.9</formula>
    </cfRule>
    <cfRule type="expression" dxfId="1985" priority="1168">
      <formula>Q10=""</formula>
    </cfRule>
  </conditionalFormatting>
  <conditionalFormatting sqref="R9:U9">
    <cfRule type="cellIs" dxfId="1984" priority="1158" operator="greaterThanOrEqual">
      <formula>6</formula>
    </cfRule>
    <cfRule type="cellIs" dxfId="1983" priority="1159" operator="between">
      <formula>0.1</formula>
      <formula>5.9</formula>
    </cfRule>
    <cfRule type="expression" dxfId="1982" priority="1161">
      <formula>R10=""</formula>
    </cfRule>
  </conditionalFormatting>
  <conditionalFormatting sqref="Q11">
    <cfRule type="cellIs" dxfId="1981" priority="1151" operator="greaterThanOrEqual">
      <formula>6</formula>
    </cfRule>
    <cfRule type="cellIs" dxfId="1980" priority="1152" operator="between">
      <formula>0.1</formula>
      <formula>5.9</formula>
    </cfRule>
    <cfRule type="expression" dxfId="1979" priority="1154">
      <formula>Q12=""</formula>
    </cfRule>
  </conditionalFormatting>
  <conditionalFormatting sqref="R11:U11">
    <cfRule type="cellIs" dxfId="1978" priority="1144" operator="greaterThanOrEqual">
      <formula>6</formula>
    </cfRule>
    <cfRule type="cellIs" dxfId="1977" priority="1145" operator="between">
      <formula>0.1</formula>
      <formula>5.9</formula>
    </cfRule>
    <cfRule type="expression" dxfId="1976" priority="1147">
      <formula>R12=""</formula>
    </cfRule>
  </conditionalFormatting>
  <conditionalFormatting sqref="Q13">
    <cfRule type="cellIs" dxfId="1975" priority="1137" operator="greaterThanOrEqual">
      <formula>6</formula>
    </cfRule>
    <cfRule type="cellIs" dxfId="1974" priority="1138" operator="between">
      <formula>0.1</formula>
      <formula>5.9</formula>
    </cfRule>
    <cfRule type="expression" dxfId="1973" priority="1140">
      <formula>Q14=""</formula>
    </cfRule>
  </conditionalFormatting>
  <conditionalFormatting sqref="R13:U13">
    <cfRule type="cellIs" dxfId="1972" priority="1130" operator="greaterThanOrEqual">
      <formula>6</formula>
    </cfRule>
    <cfRule type="cellIs" dxfId="1971" priority="1131" operator="between">
      <formula>0.1</formula>
      <formula>5.9</formula>
    </cfRule>
    <cfRule type="expression" dxfId="1970" priority="1133">
      <formula>R14=""</formula>
    </cfRule>
  </conditionalFormatting>
  <conditionalFormatting sqref="X5">
    <cfRule type="cellIs" dxfId="1969" priority="1078" operator="greaterThanOrEqual">
      <formula>6</formula>
    </cfRule>
    <cfRule type="cellIs" dxfId="1968" priority="1079" operator="between">
      <formula>0.1</formula>
      <formula>5.9</formula>
    </cfRule>
    <cfRule type="expression" dxfId="1967" priority="1081">
      <formula>X6=""</formula>
    </cfRule>
  </conditionalFormatting>
  <conditionalFormatting sqref="Y5:AB5">
    <cfRule type="cellIs" dxfId="1966" priority="1066" operator="greaterThanOrEqual">
      <formula>6</formula>
    </cfRule>
    <cfRule type="cellIs" dxfId="1965" priority="1067" operator="between">
      <formula>0.1</formula>
      <formula>5.9</formula>
    </cfRule>
    <cfRule type="expression" dxfId="1964" priority="1069">
      <formula>Y6=""</formula>
    </cfRule>
  </conditionalFormatting>
  <conditionalFormatting sqref="X7">
    <cfRule type="cellIs" dxfId="1963" priority="1059" operator="greaterThanOrEqual">
      <formula>6</formula>
    </cfRule>
    <cfRule type="cellIs" dxfId="1962" priority="1060" operator="between">
      <formula>0.1</formula>
      <formula>5.9</formula>
    </cfRule>
    <cfRule type="expression" dxfId="1961" priority="1062">
      <formula>X8=""</formula>
    </cfRule>
  </conditionalFormatting>
  <conditionalFormatting sqref="Y7:AB7">
    <cfRule type="cellIs" dxfId="1960" priority="1052" operator="greaterThanOrEqual">
      <formula>6</formula>
    </cfRule>
    <cfRule type="cellIs" dxfId="1959" priority="1053" operator="between">
      <formula>0.1</formula>
      <formula>5.9</formula>
    </cfRule>
    <cfRule type="expression" dxfId="1958" priority="1055">
      <formula>Y8=""</formula>
    </cfRule>
  </conditionalFormatting>
  <conditionalFormatting sqref="X9">
    <cfRule type="cellIs" dxfId="1957" priority="1045" operator="greaterThanOrEqual">
      <formula>6</formula>
    </cfRule>
    <cfRule type="cellIs" dxfId="1956" priority="1046" operator="between">
      <formula>0.1</formula>
      <formula>5.9</formula>
    </cfRule>
    <cfRule type="expression" dxfId="1955" priority="1048">
      <formula>X10=""</formula>
    </cfRule>
  </conditionalFormatting>
  <conditionalFormatting sqref="Y9:AB9">
    <cfRule type="cellIs" dxfId="1954" priority="1038" operator="greaterThanOrEqual">
      <formula>6</formula>
    </cfRule>
    <cfRule type="cellIs" dxfId="1953" priority="1039" operator="between">
      <formula>0.1</formula>
      <formula>5.9</formula>
    </cfRule>
    <cfRule type="expression" dxfId="1952" priority="1041">
      <formula>Y10=""</formula>
    </cfRule>
  </conditionalFormatting>
  <conditionalFormatting sqref="X11">
    <cfRule type="cellIs" dxfId="1951" priority="1031" operator="greaterThanOrEqual">
      <formula>6</formula>
    </cfRule>
    <cfRule type="cellIs" dxfId="1950" priority="1032" operator="between">
      <formula>0.1</formula>
      <formula>5.9</formula>
    </cfRule>
    <cfRule type="expression" dxfId="1949" priority="1034">
      <formula>X12=""</formula>
    </cfRule>
  </conditionalFormatting>
  <conditionalFormatting sqref="Y11:AB11">
    <cfRule type="cellIs" dxfId="1948" priority="1024" operator="greaterThanOrEqual">
      <formula>6</formula>
    </cfRule>
    <cfRule type="cellIs" dxfId="1947" priority="1025" operator="between">
      <formula>0.1</formula>
      <formula>5.9</formula>
    </cfRule>
    <cfRule type="expression" dxfId="1946" priority="1027">
      <formula>Y12=""</formula>
    </cfRule>
  </conditionalFormatting>
  <conditionalFormatting sqref="X13">
    <cfRule type="cellIs" dxfId="1945" priority="1017" operator="greaterThanOrEqual">
      <formula>6</formula>
    </cfRule>
    <cfRule type="cellIs" dxfId="1944" priority="1018" operator="between">
      <formula>0.1</formula>
      <formula>5.9</formula>
    </cfRule>
    <cfRule type="expression" dxfId="1943" priority="1020">
      <formula>X14=""</formula>
    </cfRule>
  </conditionalFormatting>
  <conditionalFormatting sqref="Y13:AB13">
    <cfRule type="cellIs" dxfId="1942" priority="1010" operator="greaterThanOrEqual">
      <formula>6</formula>
    </cfRule>
    <cfRule type="cellIs" dxfId="1941" priority="1011" operator="between">
      <formula>0.1</formula>
      <formula>5.9</formula>
    </cfRule>
    <cfRule type="expression" dxfId="1940" priority="1013">
      <formula>Y14=""</formula>
    </cfRule>
  </conditionalFormatting>
  <conditionalFormatting sqref="C16">
    <cfRule type="cellIs" dxfId="1939" priority="958" operator="greaterThanOrEqual">
      <formula>6</formula>
    </cfRule>
    <cfRule type="cellIs" dxfId="1938" priority="959" operator="between">
      <formula>0.1</formula>
      <formula>5.9</formula>
    </cfRule>
    <cfRule type="expression" dxfId="1937" priority="961">
      <formula>C17=""</formula>
    </cfRule>
  </conditionalFormatting>
  <conditionalFormatting sqref="D16:G16">
    <cfRule type="cellIs" dxfId="1936" priority="946" operator="greaterThanOrEqual">
      <formula>6</formula>
    </cfRule>
    <cfRule type="cellIs" dxfId="1935" priority="947" operator="between">
      <formula>0.1</formula>
      <formula>5.9</formula>
    </cfRule>
    <cfRule type="expression" dxfId="1934" priority="949">
      <formula>D17=""</formula>
    </cfRule>
  </conditionalFormatting>
  <conditionalFormatting sqref="C18">
    <cfRule type="cellIs" dxfId="1933" priority="939" operator="greaterThanOrEqual">
      <formula>6</formula>
    </cfRule>
    <cfRule type="cellIs" dxfId="1932" priority="940" operator="between">
      <formula>0.1</formula>
      <formula>5.9</formula>
    </cfRule>
    <cfRule type="expression" dxfId="1931" priority="942">
      <formula>C19=""</formula>
    </cfRule>
  </conditionalFormatting>
  <conditionalFormatting sqref="D18:G18">
    <cfRule type="cellIs" dxfId="1930" priority="932" operator="greaterThanOrEqual">
      <formula>6</formula>
    </cfRule>
    <cfRule type="cellIs" dxfId="1929" priority="933" operator="between">
      <formula>0.1</formula>
      <formula>5.9</formula>
    </cfRule>
    <cfRule type="expression" dxfId="1928" priority="935">
      <formula>D19=""</formula>
    </cfRule>
  </conditionalFormatting>
  <conditionalFormatting sqref="C20">
    <cfRule type="cellIs" dxfId="1927" priority="925" operator="greaterThanOrEqual">
      <formula>6</formula>
    </cfRule>
    <cfRule type="cellIs" dxfId="1926" priority="926" operator="between">
      <formula>0.1</formula>
      <formula>5.9</formula>
    </cfRule>
    <cfRule type="expression" dxfId="1925" priority="928">
      <formula>C21=""</formula>
    </cfRule>
  </conditionalFormatting>
  <conditionalFormatting sqref="D20:G20">
    <cfRule type="cellIs" dxfId="1924" priority="918" operator="greaterThanOrEqual">
      <formula>6</formula>
    </cfRule>
    <cfRule type="cellIs" dxfId="1923" priority="919" operator="between">
      <formula>0.1</formula>
      <formula>5.9</formula>
    </cfRule>
    <cfRule type="expression" dxfId="1922" priority="921">
      <formula>D21=""</formula>
    </cfRule>
  </conditionalFormatting>
  <conditionalFormatting sqref="C22">
    <cfRule type="cellIs" dxfId="1921" priority="911" operator="greaterThanOrEqual">
      <formula>6</formula>
    </cfRule>
    <cfRule type="cellIs" dxfId="1920" priority="912" operator="between">
      <formula>0.1</formula>
      <formula>5.9</formula>
    </cfRule>
    <cfRule type="expression" dxfId="1919" priority="914">
      <formula>C23=""</formula>
    </cfRule>
  </conditionalFormatting>
  <conditionalFormatting sqref="D22:G22">
    <cfRule type="cellIs" dxfId="1918" priority="904" operator="greaterThanOrEqual">
      <formula>6</formula>
    </cfRule>
    <cfRule type="cellIs" dxfId="1917" priority="905" operator="between">
      <formula>0.1</formula>
      <formula>5.9</formula>
    </cfRule>
    <cfRule type="expression" dxfId="1916" priority="907">
      <formula>D23=""</formula>
    </cfRule>
  </conditionalFormatting>
  <conditionalFormatting sqref="C24">
    <cfRule type="cellIs" dxfId="1915" priority="897" operator="greaterThanOrEqual">
      <formula>6</formula>
    </cfRule>
    <cfRule type="cellIs" dxfId="1914" priority="898" operator="between">
      <formula>0.1</formula>
      <formula>5.9</formula>
    </cfRule>
    <cfRule type="expression" dxfId="1913" priority="900">
      <formula>C25=""</formula>
    </cfRule>
  </conditionalFormatting>
  <conditionalFormatting sqref="D24:G24">
    <cfRule type="cellIs" dxfId="1912" priority="890" operator="greaterThanOrEqual">
      <formula>6</formula>
    </cfRule>
    <cfRule type="cellIs" dxfId="1911" priority="891" operator="between">
      <formula>0.1</formula>
      <formula>5.9</formula>
    </cfRule>
    <cfRule type="expression" dxfId="1910" priority="893">
      <formula>D25=""</formula>
    </cfRule>
  </conditionalFormatting>
  <conditionalFormatting sqref="J16">
    <cfRule type="cellIs" dxfId="1909" priority="838" operator="greaterThanOrEqual">
      <formula>6</formula>
    </cfRule>
    <cfRule type="cellIs" dxfId="1908" priority="839" operator="between">
      <formula>0.1</formula>
      <formula>5.9</formula>
    </cfRule>
    <cfRule type="expression" dxfId="1907" priority="841">
      <formula>J17=""</formula>
    </cfRule>
  </conditionalFormatting>
  <conditionalFormatting sqref="K16:N16">
    <cfRule type="cellIs" dxfId="1906" priority="826" operator="greaterThanOrEqual">
      <formula>6</formula>
    </cfRule>
    <cfRule type="cellIs" dxfId="1905" priority="827" operator="between">
      <formula>0.1</formula>
      <formula>5.9</formula>
    </cfRule>
    <cfRule type="expression" dxfId="1904" priority="829">
      <formula>K17=""</formula>
    </cfRule>
  </conditionalFormatting>
  <conditionalFormatting sqref="J18">
    <cfRule type="cellIs" dxfId="1903" priority="819" operator="greaterThanOrEqual">
      <formula>6</formula>
    </cfRule>
    <cfRule type="cellIs" dxfId="1902" priority="820" operator="between">
      <formula>0.1</formula>
      <formula>5.9</formula>
    </cfRule>
    <cfRule type="expression" dxfId="1901" priority="822">
      <formula>J19=""</formula>
    </cfRule>
  </conditionalFormatting>
  <conditionalFormatting sqref="K18:N18">
    <cfRule type="cellIs" dxfId="1900" priority="812" operator="greaterThanOrEqual">
      <formula>6</formula>
    </cfRule>
    <cfRule type="cellIs" dxfId="1899" priority="813" operator="between">
      <formula>0.1</formula>
      <formula>5.9</formula>
    </cfRule>
    <cfRule type="expression" dxfId="1898" priority="815">
      <formula>K19=""</formula>
    </cfRule>
  </conditionalFormatting>
  <conditionalFormatting sqref="J20">
    <cfRule type="cellIs" dxfId="1897" priority="805" operator="greaterThanOrEqual">
      <formula>6</formula>
    </cfRule>
    <cfRule type="cellIs" dxfId="1896" priority="806" operator="between">
      <formula>0.1</formula>
      <formula>5.9</formula>
    </cfRule>
    <cfRule type="expression" dxfId="1895" priority="808">
      <formula>J21=""</formula>
    </cfRule>
  </conditionalFormatting>
  <conditionalFormatting sqref="K20:N20">
    <cfRule type="cellIs" dxfId="1894" priority="798" operator="greaterThanOrEqual">
      <formula>6</formula>
    </cfRule>
    <cfRule type="cellIs" dxfId="1893" priority="799" operator="between">
      <formula>0.1</formula>
      <formula>5.9</formula>
    </cfRule>
    <cfRule type="expression" dxfId="1892" priority="801">
      <formula>K21=""</formula>
    </cfRule>
  </conditionalFormatting>
  <conditionalFormatting sqref="J22">
    <cfRule type="cellIs" dxfId="1891" priority="791" operator="greaterThanOrEqual">
      <formula>6</formula>
    </cfRule>
    <cfRule type="cellIs" dxfId="1890" priority="792" operator="between">
      <formula>0.1</formula>
      <formula>5.9</formula>
    </cfRule>
    <cfRule type="expression" dxfId="1889" priority="794">
      <formula>J23=""</formula>
    </cfRule>
  </conditionalFormatting>
  <conditionalFormatting sqref="K22:N22">
    <cfRule type="cellIs" dxfId="1888" priority="784" operator="greaterThanOrEqual">
      <formula>6</formula>
    </cfRule>
    <cfRule type="cellIs" dxfId="1887" priority="785" operator="between">
      <formula>0.1</formula>
      <formula>5.9</formula>
    </cfRule>
    <cfRule type="expression" dxfId="1886" priority="787">
      <formula>K23=""</formula>
    </cfRule>
  </conditionalFormatting>
  <conditionalFormatting sqref="J24">
    <cfRule type="cellIs" dxfId="1885" priority="777" operator="greaterThanOrEqual">
      <formula>6</formula>
    </cfRule>
    <cfRule type="cellIs" dxfId="1884" priority="778" operator="between">
      <formula>0.1</formula>
      <formula>5.9</formula>
    </cfRule>
    <cfRule type="expression" dxfId="1883" priority="780">
      <formula>J25=""</formula>
    </cfRule>
  </conditionalFormatting>
  <conditionalFormatting sqref="K24:N24">
    <cfRule type="cellIs" dxfId="1882" priority="770" operator="greaterThanOrEqual">
      <formula>6</formula>
    </cfRule>
    <cfRule type="cellIs" dxfId="1881" priority="771" operator="between">
      <formula>0.1</formula>
      <formula>5.9</formula>
    </cfRule>
    <cfRule type="expression" dxfId="1880" priority="773">
      <formula>K25=""</formula>
    </cfRule>
  </conditionalFormatting>
  <conditionalFormatting sqref="Q16">
    <cfRule type="cellIs" dxfId="1879" priority="718" operator="greaterThanOrEqual">
      <formula>6</formula>
    </cfRule>
    <cfRule type="cellIs" dxfId="1878" priority="719" operator="between">
      <formula>0.1</formula>
      <formula>5.9</formula>
    </cfRule>
    <cfRule type="expression" dxfId="1877" priority="721">
      <formula>Q17=""</formula>
    </cfRule>
  </conditionalFormatting>
  <conditionalFormatting sqref="R16:U16">
    <cfRule type="cellIs" dxfId="1876" priority="706" operator="greaterThanOrEqual">
      <formula>6</formula>
    </cfRule>
    <cfRule type="cellIs" dxfId="1875" priority="707" operator="between">
      <formula>0.1</formula>
      <formula>5.9</formula>
    </cfRule>
    <cfRule type="expression" dxfId="1874" priority="709">
      <formula>R17=""</formula>
    </cfRule>
  </conditionalFormatting>
  <conditionalFormatting sqref="Q18">
    <cfRule type="cellIs" dxfId="1873" priority="699" operator="greaterThanOrEqual">
      <formula>6</formula>
    </cfRule>
    <cfRule type="cellIs" dxfId="1872" priority="700" operator="between">
      <formula>0.1</formula>
      <formula>5.9</formula>
    </cfRule>
    <cfRule type="expression" dxfId="1871" priority="702">
      <formula>Q19=""</formula>
    </cfRule>
  </conditionalFormatting>
  <conditionalFormatting sqref="R18:U18">
    <cfRule type="cellIs" dxfId="1870" priority="692" operator="greaterThanOrEqual">
      <formula>6</formula>
    </cfRule>
    <cfRule type="cellIs" dxfId="1869" priority="693" operator="between">
      <formula>0.1</formula>
      <formula>5.9</formula>
    </cfRule>
    <cfRule type="expression" dxfId="1868" priority="695">
      <formula>R19=""</formula>
    </cfRule>
  </conditionalFormatting>
  <conditionalFormatting sqref="Q20">
    <cfRule type="cellIs" dxfId="1867" priority="685" operator="greaterThanOrEqual">
      <formula>6</formula>
    </cfRule>
    <cfRule type="cellIs" dxfId="1866" priority="686" operator="between">
      <formula>0.1</formula>
      <formula>5.9</formula>
    </cfRule>
    <cfRule type="expression" dxfId="1865" priority="688">
      <formula>Q21=""</formula>
    </cfRule>
  </conditionalFormatting>
  <conditionalFormatting sqref="R20:U20">
    <cfRule type="cellIs" dxfId="1864" priority="678" operator="greaterThanOrEqual">
      <formula>6</formula>
    </cfRule>
    <cfRule type="cellIs" dxfId="1863" priority="679" operator="between">
      <formula>0.1</formula>
      <formula>5.9</formula>
    </cfRule>
    <cfRule type="expression" dxfId="1862" priority="681">
      <formula>R21=""</formula>
    </cfRule>
  </conditionalFormatting>
  <conditionalFormatting sqref="Q22">
    <cfRule type="cellIs" dxfId="1861" priority="671" operator="greaterThanOrEqual">
      <formula>6</formula>
    </cfRule>
    <cfRule type="cellIs" dxfId="1860" priority="672" operator="between">
      <formula>0.1</formula>
      <formula>5.9</formula>
    </cfRule>
    <cfRule type="expression" dxfId="1859" priority="674">
      <formula>Q23=""</formula>
    </cfRule>
  </conditionalFormatting>
  <conditionalFormatting sqref="R22:U22">
    <cfRule type="cellIs" dxfId="1858" priority="664" operator="greaterThanOrEqual">
      <formula>6</formula>
    </cfRule>
    <cfRule type="cellIs" dxfId="1857" priority="665" operator="between">
      <formula>0.1</formula>
      <formula>5.9</formula>
    </cfRule>
    <cfRule type="expression" dxfId="1856" priority="667">
      <formula>R23=""</formula>
    </cfRule>
  </conditionalFormatting>
  <conditionalFormatting sqref="Q24">
    <cfRule type="cellIs" dxfId="1855" priority="657" operator="greaterThanOrEqual">
      <formula>6</formula>
    </cfRule>
    <cfRule type="cellIs" dxfId="1854" priority="658" operator="between">
      <formula>0.1</formula>
      <formula>5.9</formula>
    </cfRule>
    <cfRule type="expression" dxfId="1853" priority="660">
      <formula>Q25=""</formula>
    </cfRule>
  </conditionalFormatting>
  <conditionalFormatting sqref="R24:U24">
    <cfRule type="cellIs" dxfId="1852" priority="650" operator="greaterThanOrEqual">
      <formula>6</formula>
    </cfRule>
    <cfRule type="cellIs" dxfId="1851" priority="651" operator="between">
      <formula>0.1</formula>
      <formula>5.9</formula>
    </cfRule>
    <cfRule type="expression" dxfId="1850" priority="653">
      <formula>R25=""</formula>
    </cfRule>
  </conditionalFormatting>
  <conditionalFormatting sqref="X16">
    <cfRule type="cellIs" dxfId="1849" priority="598" operator="greaterThanOrEqual">
      <formula>6</formula>
    </cfRule>
    <cfRule type="cellIs" dxfId="1848" priority="599" operator="between">
      <formula>0.1</formula>
      <formula>5.9</formula>
    </cfRule>
    <cfRule type="expression" dxfId="1847" priority="601">
      <formula>X17=""</formula>
    </cfRule>
  </conditionalFormatting>
  <conditionalFormatting sqref="Y16:AB16">
    <cfRule type="cellIs" dxfId="1846" priority="586" operator="greaterThanOrEqual">
      <formula>6</formula>
    </cfRule>
    <cfRule type="cellIs" dxfId="1845" priority="587" operator="between">
      <formula>0.1</formula>
      <formula>5.9</formula>
    </cfRule>
    <cfRule type="expression" dxfId="1844" priority="589">
      <formula>Y17=""</formula>
    </cfRule>
  </conditionalFormatting>
  <conditionalFormatting sqref="X18">
    <cfRule type="cellIs" dxfId="1843" priority="579" operator="greaterThanOrEqual">
      <formula>6</formula>
    </cfRule>
    <cfRule type="cellIs" dxfId="1842" priority="580" operator="between">
      <formula>0.1</formula>
      <formula>5.9</formula>
    </cfRule>
    <cfRule type="expression" dxfId="1841" priority="582">
      <formula>X19=""</formula>
    </cfRule>
  </conditionalFormatting>
  <conditionalFormatting sqref="Y18:AB18">
    <cfRule type="cellIs" dxfId="1840" priority="572" operator="greaterThanOrEqual">
      <formula>6</formula>
    </cfRule>
    <cfRule type="cellIs" dxfId="1839" priority="573" operator="between">
      <formula>0.1</formula>
      <formula>5.9</formula>
    </cfRule>
    <cfRule type="expression" dxfId="1838" priority="575">
      <formula>Y19=""</formula>
    </cfRule>
  </conditionalFormatting>
  <conditionalFormatting sqref="X20">
    <cfRule type="cellIs" dxfId="1837" priority="565" operator="greaterThanOrEqual">
      <formula>6</formula>
    </cfRule>
    <cfRule type="cellIs" dxfId="1836" priority="566" operator="between">
      <formula>0.1</formula>
      <formula>5.9</formula>
    </cfRule>
    <cfRule type="expression" dxfId="1835" priority="568">
      <formula>X21=""</formula>
    </cfRule>
  </conditionalFormatting>
  <conditionalFormatting sqref="Y20:AB20">
    <cfRule type="cellIs" dxfId="1834" priority="558" operator="greaterThanOrEqual">
      <formula>6</formula>
    </cfRule>
    <cfRule type="cellIs" dxfId="1833" priority="559" operator="between">
      <formula>0.1</formula>
      <formula>5.9</formula>
    </cfRule>
    <cfRule type="expression" dxfId="1832" priority="561">
      <formula>Y21=""</formula>
    </cfRule>
  </conditionalFormatting>
  <conditionalFormatting sqref="X22">
    <cfRule type="cellIs" dxfId="1831" priority="551" operator="greaterThanOrEqual">
      <formula>6</formula>
    </cfRule>
    <cfRule type="cellIs" dxfId="1830" priority="552" operator="between">
      <formula>0.1</formula>
      <formula>5.9</formula>
    </cfRule>
    <cfRule type="expression" dxfId="1829" priority="554">
      <formula>X23=""</formula>
    </cfRule>
  </conditionalFormatting>
  <conditionalFormatting sqref="Y22:AB22">
    <cfRule type="cellIs" dxfId="1828" priority="544" operator="greaterThanOrEqual">
      <formula>6</formula>
    </cfRule>
    <cfRule type="cellIs" dxfId="1827" priority="545" operator="between">
      <formula>0.1</formula>
      <formula>5.9</formula>
    </cfRule>
    <cfRule type="expression" dxfId="1826" priority="547">
      <formula>Y23=""</formula>
    </cfRule>
  </conditionalFormatting>
  <conditionalFormatting sqref="X24">
    <cfRule type="cellIs" dxfId="1825" priority="537" operator="greaterThanOrEqual">
      <formula>6</formula>
    </cfRule>
    <cfRule type="cellIs" dxfId="1824" priority="538" operator="between">
      <formula>0.1</formula>
      <formula>5.9</formula>
    </cfRule>
    <cfRule type="expression" dxfId="1823" priority="540">
      <formula>X25=""</formula>
    </cfRule>
  </conditionalFormatting>
  <conditionalFormatting sqref="Y24:AB24">
    <cfRule type="cellIs" dxfId="1822" priority="530" operator="greaterThanOrEqual">
      <formula>6</formula>
    </cfRule>
    <cfRule type="cellIs" dxfId="1821" priority="531" operator="between">
      <formula>0.1</formula>
      <formula>5.9</formula>
    </cfRule>
    <cfRule type="expression" dxfId="1820" priority="533">
      <formula>Y25=""</formula>
    </cfRule>
  </conditionalFormatting>
  <conditionalFormatting sqref="C27">
    <cfRule type="cellIs" dxfId="1819" priority="478" operator="greaterThanOrEqual">
      <formula>6</formula>
    </cfRule>
    <cfRule type="cellIs" dxfId="1818" priority="479" operator="between">
      <formula>0.1</formula>
      <formula>5.9</formula>
    </cfRule>
    <cfRule type="expression" dxfId="1817" priority="481">
      <formula>C28=""</formula>
    </cfRule>
  </conditionalFormatting>
  <conditionalFormatting sqref="D27:G27">
    <cfRule type="cellIs" dxfId="1816" priority="466" operator="greaterThanOrEqual">
      <formula>6</formula>
    </cfRule>
    <cfRule type="cellIs" dxfId="1815" priority="467" operator="between">
      <formula>0.1</formula>
      <formula>5.9</formula>
    </cfRule>
    <cfRule type="expression" dxfId="1814" priority="469">
      <formula>D28=""</formula>
    </cfRule>
  </conditionalFormatting>
  <conditionalFormatting sqref="C29">
    <cfRule type="cellIs" dxfId="1813" priority="459" operator="greaterThanOrEqual">
      <formula>6</formula>
    </cfRule>
    <cfRule type="cellIs" dxfId="1812" priority="460" operator="between">
      <formula>0.1</formula>
      <formula>5.9</formula>
    </cfRule>
    <cfRule type="expression" dxfId="1811" priority="462">
      <formula>C30=""</formula>
    </cfRule>
  </conditionalFormatting>
  <conditionalFormatting sqref="D29:G29">
    <cfRule type="cellIs" dxfId="1810" priority="452" operator="greaterThanOrEqual">
      <formula>6</formula>
    </cfRule>
    <cfRule type="cellIs" dxfId="1809" priority="453" operator="between">
      <formula>0.1</formula>
      <formula>5.9</formula>
    </cfRule>
    <cfRule type="expression" dxfId="1808" priority="455">
      <formula>D30=""</formula>
    </cfRule>
  </conditionalFormatting>
  <conditionalFormatting sqref="C31">
    <cfRule type="cellIs" dxfId="1807" priority="445" operator="greaterThanOrEqual">
      <formula>6</formula>
    </cfRule>
    <cfRule type="cellIs" dxfId="1806" priority="446" operator="between">
      <formula>0.1</formula>
      <formula>5.9</formula>
    </cfRule>
    <cfRule type="expression" dxfId="1805" priority="448">
      <formula>C32=""</formula>
    </cfRule>
  </conditionalFormatting>
  <conditionalFormatting sqref="D31:G31">
    <cfRule type="cellIs" dxfId="1804" priority="438" operator="greaterThanOrEqual">
      <formula>6</formula>
    </cfRule>
    <cfRule type="cellIs" dxfId="1803" priority="439" operator="between">
      <formula>0.1</formula>
      <formula>5.9</formula>
    </cfRule>
    <cfRule type="expression" dxfId="1802" priority="441">
      <formula>D32=""</formula>
    </cfRule>
  </conditionalFormatting>
  <conditionalFormatting sqref="C33">
    <cfRule type="cellIs" dxfId="1801" priority="431" operator="greaterThanOrEqual">
      <formula>6</formula>
    </cfRule>
    <cfRule type="cellIs" dxfId="1800" priority="432" operator="between">
      <formula>0.1</formula>
      <formula>5.9</formula>
    </cfRule>
    <cfRule type="expression" dxfId="1799" priority="434">
      <formula>C34=""</formula>
    </cfRule>
  </conditionalFormatting>
  <conditionalFormatting sqref="D33:G33">
    <cfRule type="cellIs" dxfId="1798" priority="424" operator="greaterThanOrEqual">
      <formula>6</formula>
    </cfRule>
    <cfRule type="cellIs" dxfId="1797" priority="425" operator="between">
      <formula>0.1</formula>
      <formula>5.9</formula>
    </cfRule>
    <cfRule type="expression" dxfId="1796" priority="427">
      <formula>D34=""</formula>
    </cfRule>
  </conditionalFormatting>
  <conditionalFormatting sqref="C35">
    <cfRule type="cellIs" dxfId="1795" priority="417" operator="greaterThanOrEqual">
      <formula>6</formula>
    </cfRule>
    <cfRule type="cellIs" dxfId="1794" priority="418" operator="between">
      <formula>0.1</formula>
      <formula>5.9</formula>
    </cfRule>
    <cfRule type="expression" dxfId="1793" priority="420">
      <formula>C36=""</formula>
    </cfRule>
  </conditionalFormatting>
  <conditionalFormatting sqref="D35:G35">
    <cfRule type="cellIs" dxfId="1792" priority="410" operator="greaterThanOrEqual">
      <formula>6</formula>
    </cfRule>
    <cfRule type="cellIs" dxfId="1791" priority="411" operator="between">
      <formula>0.1</formula>
      <formula>5.9</formula>
    </cfRule>
    <cfRule type="expression" dxfId="1790" priority="413">
      <formula>D36=""</formula>
    </cfRule>
  </conditionalFormatting>
  <conditionalFormatting sqref="J27">
    <cfRule type="cellIs" dxfId="1789" priority="358" operator="greaterThanOrEqual">
      <formula>6</formula>
    </cfRule>
    <cfRule type="cellIs" dxfId="1788" priority="359" operator="between">
      <formula>0.1</formula>
      <formula>5.9</formula>
    </cfRule>
    <cfRule type="expression" dxfId="1787" priority="361">
      <formula>J28=""</formula>
    </cfRule>
  </conditionalFormatting>
  <conditionalFormatting sqref="K27:N27">
    <cfRule type="cellIs" dxfId="1786" priority="346" operator="greaterThanOrEqual">
      <formula>6</formula>
    </cfRule>
    <cfRule type="cellIs" dxfId="1785" priority="347" operator="between">
      <formula>0.1</formula>
      <formula>5.9</formula>
    </cfRule>
    <cfRule type="expression" dxfId="1784" priority="349">
      <formula>K28=""</formula>
    </cfRule>
  </conditionalFormatting>
  <conditionalFormatting sqref="J29">
    <cfRule type="cellIs" dxfId="1783" priority="339" operator="greaterThanOrEqual">
      <formula>6</formula>
    </cfRule>
    <cfRule type="cellIs" dxfId="1782" priority="340" operator="between">
      <formula>0.1</formula>
      <formula>5.9</formula>
    </cfRule>
    <cfRule type="expression" dxfId="1781" priority="342">
      <formula>J30=""</formula>
    </cfRule>
  </conditionalFormatting>
  <conditionalFormatting sqref="K29:N29">
    <cfRule type="cellIs" dxfId="1780" priority="332" operator="greaterThanOrEqual">
      <formula>6</formula>
    </cfRule>
    <cfRule type="cellIs" dxfId="1779" priority="333" operator="between">
      <formula>0.1</formula>
      <formula>5.9</formula>
    </cfRule>
    <cfRule type="expression" dxfId="1778" priority="335">
      <formula>K30=""</formula>
    </cfRule>
  </conditionalFormatting>
  <conditionalFormatting sqref="J31">
    <cfRule type="cellIs" dxfId="1777" priority="325" operator="greaterThanOrEqual">
      <formula>6</formula>
    </cfRule>
    <cfRule type="cellIs" dxfId="1776" priority="326" operator="between">
      <formula>0.1</formula>
      <formula>5.9</formula>
    </cfRule>
    <cfRule type="expression" dxfId="1775" priority="328">
      <formula>J32=""</formula>
    </cfRule>
  </conditionalFormatting>
  <conditionalFormatting sqref="K31:N31">
    <cfRule type="cellIs" dxfId="1774" priority="318" operator="greaterThanOrEqual">
      <formula>6</formula>
    </cfRule>
    <cfRule type="cellIs" dxfId="1773" priority="319" operator="between">
      <formula>0.1</formula>
      <formula>5.9</formula>
    </cfRule>
    <cfRule type="expression" dxfId="1772" priority="321">
      <formula>K32=""</formula>
    </cfRule>
  </conditionalFormatting>
  <conditionalFormatting sqref="J33">
    <cfRule type="cellIs" dxfId="1771" priority="311" operator="greaterThanOrEqual">
      <formula>6</formula>
    </cfRule>
    <cfRule type="cellIs" dxfId="1770" priority="312" operator="between">
      <formula>0.1</formula>
      <formula>5.9</formula>
    </cfRule>
    <cfRule type="expression" dxfId="1769" priority="314">
      <formula>J34=""</formula>
    </cfRule>
  </conditionalFormatting>
  <conditionalFormatting sqref="K33:N33">
    <cfRule type="cellIs" dxfId="1768" priority="304" operator="greaterThanOrEqual">
      <formula>6</formula>
    </cfRule>
    <cfRule type="cellIs" dxfId="1767" priority="305" operator="between">
      <formula>0.1</formula>
      <formula>5.9</formula>
    </cfRule>
    <cfRule type="expression" dxfId="1766" priority="307">
      <formula>K34=""</formula>
    </cfRule>
  </conditionalFormatting>
  <conditionalFormatting sqref="J35">
    <cfRule type="cellIs" dxfId="1765" priority="297" operator="greaterThanOrEqual">
      <formula>6</formula>
    </cfRule>
    <cfRule type="cellIs" dxfId="1764" priority="298" operator="between">
      <formula>0.1</formula>
      <formula>5.9</formula>
    </cfRule>
    <cfRule type="expression" dxfId="1763" priority="300">
      <formula>J36=""</formula>
    </cfRule>
  </conditionalFormatting>
  <conditionalFormatting sqref="K35:N35">
    <cfRule type="cellIs" dxfId="1762" priority="290" operator="greaterThanOrEqual">
      <formula>6</formula>
    </cfRule>
    <cfRule type="cellIs" dxfId="1761" priority="291" operator="between">
      <formula>0.1</formula>
      <formula>5.9</formula>
    </cfRule>
    <cfRule type="expression" dxfId="1760" priority="293">
      <formula>K36=""</formula>
    </cfRule>
  </conditionalFormatting>
  <conditionalFormatting sqref="Q27">
    <cfRule type="cellIs" dxfId="1759" priority="238" operator="greaterThanOrEqual">
      <formula>6</formula>
    </cfRule>
    <cfRule type="cellIs" dxfId="1758" priority="239" operator="between">
      <formula>0.1</formula>
      <formula>5.9</formula>
    </cfRule>
    <cfRule type="expression" dxfId="1757" priority="241">
      <formula>Q28=""</formula>
    </cfRule>
  </conditionalFormatting>
  <conditionalFormatting sqref="R27:U27">
    <cfRule type="cellIs" dxfId="1756" priority="226" operator="greaterThanOrEqual">
      <formula>6</formula>
    </cfRule>
    <cfRule type="cellIs" dxfId="1755" priority="227" operator="between">
      <formula>0.1</formula>
      <formula>5.9</formula>
    </cfRule>
    <cfRule type="expression" dxfId="1754" priority="229">
      <formula>R28=""</formula>
    </cfRule>
  </conditionalFormatting>
  <conditionalFormatting sqref="Q29">
    <cfRule type="cellIs" dxfId="1753" priority="219" operator="greaterThanOrEqual">
      <formula>6</formula>
    </cfRule>
    <cfRule type="cellIs" dxfId="1752" priority="220" operator="between">
      <formula>0.1</formula>
      <formula>5.9</formula>
    </cfRule>
    <cfRule type="expression" dxfId="1751" priority="222">
      <formula>Q30=""</formula>
    </cfRule>
  </conditionalFormatting>
  <conditionalFormatting sqref="R29:U29">
    <cfRule type="cellIs" dxfId="1750" priority="212" operator="greaterThanOrEqual">
      <formula>6</formula>
    </cfRule>
    <cfRule type="cellIs" dxfId="1749" priority="213" operator="between">
      <formula>0.1</formula>
      <formula>5.9</formula>
    </cfRule>
    <cfRule type="expression" dxfId="1748" priority="215">
      <formula>R30=""</formula>
    </cfRule>
  </conditionalFormatting>
  <conditionalFormatting sqref="Q31">
    <cfRule type="cellIs" dxfId="1747" priority="205" operator="greaterThanOrEqual">
      <formula>6</formula>
    </cfRule>
    <cfRule type="cellIs" dxfId="1746" priority="206" operator="between">
      <formula>0.1</formula>
      <formula>5.9</formula>
    </cfRule>
    <cfRule type="expression" dxfId="1745" priority="208">
      <formula>Q32=""</formula>
    </cfRule>
  </conditionalFormatting>
  <conditionalFormatting sqref="R31:U31">
    <cfRule type="cellIs" dxfId="1744" priority="198" operator="greaterThanOrEqual">
      <formula>6</formula>
    </cfRule>
    <cfRule type="cellIs" dxfId="1743" priority="199" operator="between">
      <formula>0.1</formula>
      <formula>5.9</formula>
    </cfRule>
    <cfRule type="expression" dxfId="1742" priority="201">
      <formula>R32=""</formula>
    </cfRule>
  </conditionalFormatting>
  <conditionalFormatting sqref="Q33">
    <cfRule type="cellIs" dxfId="1741" priority="191" operator="greaterThanOrEqual">
      <formula>6</formula>
    </cfRule>
    <cfRule type="cellIs" dxfId="1740" priority="192" operator="between">
      <formula>0.1</formula>
      <formula>5.9</formula>
    </cfRule>
    <cfRule type="expression" dxfId="1739" priority="194">
      <formula>Q34=""</formula>
    </cfRule>
  </conditionalFormatting>
  <conditionalFormatting sqref="R33:U33">
    <cfRule type="cellIs" dxfId="1738" priority="184" operator="greaterThanOrEqual">
      <formula>6</formula>
    </cfRule>
    <cfRule type="cellIs" dxfId="1737" priority="185" operator="between">
      <formula>0.1</formula>
      <formula>5.9</formula>
    </cfRule>
    <cfRule type="expression" dxfId="1736" priority="187">
      <formula>R34=""</formula>
    </cfRule>
  </conditionalFormatting>
  <conditionalFormatting sqref="Q35">
    <cfRule type="cellIs" dxfId="1735" priority="177" operator="greaterThanOrEqual">
      <formula>6</formula>
    </cfRule>
    <cfRule type="cellIs" dxfId="1734" priority="178" operator="between">
      <formula>0.1</formula>
      <formula>5.9</formula>
    </cfRule>
    <cfRule type="expression" dxfId="1733" priority="180">
      <formula>Q36=""</formula>
    </cfRule>
  </conditionalFormatting>
  <conditionalFormatting sqref="R35:U35">
    <cfRule type="cellIs" dxfId="1732" priority="170" operator="greaterThanOrEqual">
      <formula>6</formula>
    </cfRule>
    <cfRule type="cellIs" dxfId="1731" priority="171" operator="between">
      <formula>0.1</formula>
      <formula>5.9</formula>
    </cfRule>
    <cfRule type="expression" dxfId="1730" priority="173">
      <formula>R36=""</formula>
    </cfRule>
  </conditionalFormatting>
  <conditionalFormatting sqref="X27">
    <cfRule type="cellIs" dxfId="1729" priority="118" operator="greaterThanOrEqual">
      <formula>6</formula>
    </cfRule>
    <cfRule type="cellIs" dxfId="1728" priority="119" operator="between">
      <formula>0.1</formula>
      <formula>5.9</formula>
    </cfRule>
    <cfRule type="expression" dxfId="1727" priority="121">
      <formula>X28=""</formula>
    </cfRule>
  </conditionalFormatting>
  <conditionalFormatting sqref="Y27:AB27">
    <cfRule type="cellIs" dxfId="1726" priority="106" operator="greaterThanOrEqual">
      <formula>6</formula>
    </cfRule>
    <cfRule type="cellIs" dxfId="1725" priority="107" operator="between">
      <formula>0.1</formula>
      <formula>5.9</formula>
    </cfRule>
    <cfRule type="expression" dxfId="1724" priority="109">
      <formula>Y28=""</formula>
    </cfRule>
  </conditionalFormatting>
  <conditionalFormatting sqref="X29">
    <cfRule type="cellIs" dxfId="1723" priority="99" operator="greaterThanOrEqual">
      <formula>6</formula>
    </cfRule>
    <cfRule type="cellIs" dxfId="1722" priority="100" operator="between">
      <formula>0.1</formula>
      <formula>5.9</formula>
    </cfRule>
    <cfRule type="expression" dxfId="1721" priority="102">
      <formula>X30=""</formula>
    </cfRule>
  </conditionalFormatting>
  <conditionalFormatting sqref="Y29:AB29">
    <cfRule type="cellIs" dxfId="1720" priority="92" operator="greaterThanOrEqual">
      <formula>6</formula>
    </cfRule>
    <cfRule type="cellIs" dxfId="1719" priority="93" operator="between">
      <formula>0.1</formula>
      <formula>5.9</formula>
    </cfRule>
    <cfRule type="expression" dxfId="1718" priority="95">
      <formula>Y30=""</formula>
    </cfRule>
  </conditionalFormatting>
  <conditionalFormatting sqref="X31">
    <cfRule type="cellIs" dxfId="1717" priority="85" operator="greaterThanOrEqual">
      <formula>6</formula>
    </cfRule>
    <cfRule type="cellIs" dxfId="1716" priority="86" operator="between">
      <formula>0.1</formula>
      <formula>5.9</formula>
    </cfRule>
    <cfRule type="expression" dxfId="1715" priority="88">
      <formula>X32=""</formula>
    </cfRule>
  </conditionalFormatting>
  <conditionalFormatting sqref="Y31:AB31">
    <cfRule type="cellIs" dxfId="1714" priority="78" operator="greaterThanOrEqual">
      <formula>6</formula>
    </cfRule>
    <cfRule type="cellIs" dxfId="1713" priority="79" operator="between">
      <formula>0.1</formula>
      <formula>5.9</formula>
    </cfRule>
    <cfRule type="expression" dxfId="1712" priority="81">
      <formula>Y32=""</formula>
    </cfRule>
  </conditionalFormatting>
  <conditionalFormatting sqref="X33">
    <cfRule type="cellIs" dxfId="1711" priority="71" operator="greaterThanOrEqual">
      <formula>6</formula>
    </cfRule>
    <cfRule type="cellIs" dxfId="1710" priority="72" operator="between">
      <formula>0.1</formula>
      <formula>5.9</formula>
    </cfRule>
    <cfRule type="expression" dxfId="1709" priority="74">
      <formula>X34=""</formula>
    </cfRule>
  </conditionalFormatting>
  <conditionalFormatting sqref="Y33:AB33">
    <cfRule type="cellIs" dxfId="1708" priority="64" operator="greaterThanOrEqual">
      <formula>6</formula>
    </cfRule>
    <cfRule type="cellIs" dxfId="1707" priority="65" operator="between">
      <formula>0.1</formula>
      <formula>5.9</formula>
    </cfRule>
    <cfRule type="expression" dxfId="1706" priority="67">
      <formula>Y34=""</formula>
    </cfRule>
  </conditionalFormatting>
  <conditionalFormatting sqref="X35">
    <cfRule type="cellIs" dxfId="1705" priority="57" operator="greaterThanOrEqual">
      <formula>6</formula>
    </cfRule>
    <cfRule type="cellIs" dxfId="1704" priority="58" operator="between">
      <formula>0.1</formula>
      <formula>5.9</formula>
    </cfRule>
    <cfRule type="expression" dxfId="1703" priority="60">
      <formula>X36=""</formula>
    </cfRule>
  </conditionalFormatting>
  <conditionalFormatting sqref="Y35:AB35">
    <cfRule type="cellIs" dxfId="1702" priority="50" operator="greaterThanOrEqual">
      <formula>6</formula>
    </cfRule>
    <cfRule type="cellIs" dxfId="1701" priority="51" operator="between">
      <formula>0.1</formula>
      <formula>5.9</formula>
    </cfRule>
    <cfRule type="expression" dxfId="1700" priority="53">
      <formula>Y36=""</formula>
    </cfRule>
  </conditionalFormatting>
  <dataValidations xWindow="252" yWindow="270" count="5">
    <dataValidation type="decimal" allowBlank="1" showInputMessage="1" showErrorMessage="1" sqref="M41" xr:uid="{AFA6B3CD-67BA-4A7D-8C35-520749D0C33B}">
      <formula1>0</formula1>
      <formula2>8</formula2>
    </dataValidation>
    <dataValidation allowBlank="1" showInputMessage="1" showErrorMessage="1" promptTitle="Print to Sign" prompt="Double check that Total Contract Days is in BLACK text!  Please print out calendar by clicking the button to the right.  " sqref="M48:Y49" xr:uid="{CE03FD3E-69D8-4A17-9542-0D527493FDBD}"/>
    <dataValidation allowBlank="1" showInputMessage="1" showErrorMessage="1" promptTitle="FTE" prompt="Usually 0.5 FTE for job shares." sqref="L2" xr:uid="{9F5EAC90-2036-4D33-ACFB-673AC3F5B0E7}"/>
    <dataValidation type="decimal" allowBlank="1" showErrorMessage="1" promptTitle="Entering" prompt="Enter how many hours you will work at Location A.  (YRE enter 8 hours as full day.)" sqref="X38:AB38 X40:AB40 X35:AB35 C16:G16 C18:G18 C20:G20 C22:G22 C24:G24 J5:N5 J7:N7 J9:N9 J11:N11 J13:N13 J16:N16 J18:N18 J20:N20 J22:N22 J24:N24 Q5:U5 Q7:U7 Q9:U9 Q11:U11 Q13:U13 Q16:U16 Q18:U18 Q20:U20 Q22:U22 Q24:U24 X5:AB5 X7:AB7 X9:AB9 X11:AB11 X13:AB13 X16:AB16 X18:AB18 X20:AB20 X22:AB22 X24:AB24 C27:G27 C29:G29 C31:G31 C33:G33 C35:G35 J27:N27 J29:N29 J31:N31 J33:N33 J35:N35 Q27:U27 Q29:U29 Q31:U31 Q33:U33 Q35:U35 X27:AB27 X29:AB29 X31:AB31 X33:AB33" xr:uid="{F79BFB8E-3C87-4A0B-9484-0E11B8FE947B}">
      <formula1>0</formula1>
      <formula2>8</formula2>
    </dataValidation>
    <dataValidation allowBlank="1" showErrorMessage="1" promptTitle="Entering" prompt="Enter how many hours per day you will be at Location A. (YRE locations please enter 8 hours as a full day)" sqref="C5:G5 C7:G7 C9:G9 C11:G11 C13:G13" xr:uid="{97FC3AE5-C19C-42F5-86DD-E036B01E8C70}"/>
  </dataValidations>
  <pageMargins left="0.25" right="0.25" top="0.75" bottom="0.75" header="0.3" footer="0.3"/>
  <pageSetup scale="58" orientation="landscape" r:id="rId1"/>
  <headerFooter>
    <oddHeader>&amp;L&amp;G&amp;C&amp;"-,Bold"&amp;16&amp;K04+000Multiple Location Calendar &amp;K01+000
&amp;R&amp;"-,Bold"&amp;14Location A</oddHeader>
    <oddFooter>&amp;L&amp;"-,Bold"&amp;K04+000Human Resource Usage Only:&amp;"-,Regular"&amp;K01+000
__ Contract days balance        __ Skyward assignments match   
__ Calendar types updated    __ Notes&amp;C__ Uploaded to Google Doc                  __ Scanned in Employee File&amp;R&amp;D</oddFooter>
  </headerFooter>
  <legacyDrawingHF r:id="rId2"/>
  <extLst>
    <ext xmlns:x14="http://schemas.microsoft.com/office/spreadsheetml/2009/9/main" uri="{78C0D931-6437-407d-A8EE-F0AAD7539E65}">
      <x14:conditionalFormattings>
        <x14:conditionalFormatting xmlns:xm="http://schemas.microsoft.com/office/excel/2006/main">
          <x14:cfRule type="containsText" priority="37138" operator="containsText" id="{F55ABCA1-8CD4-423F-B8CE-E0DAD5410622}">
            <xm:f>NOT(ISERROR(SEARCH("û",AB43)))</xm:f>
            <xm:f>"û"</xm:f>
            <x14:dxf>
              <font>
                <color rgb="FFFF0000"/>
              </font>
            </x14:dxf>
          </x14:cfRule>
          <x14:cfRule type="containsText" priority="37139" operator="containsText" id="{A0EE7C14-1048-476B-82BC-DAE12F1B3629}">
            <xm:f>NOT(ISERROR(SEARCH("ü",AB43)))</xm:f>
            <xm:f>"ü"</xm:f>
            <x14:dxf>
              <font>
                <color theme="9" tint="-0.24994659260841701"/>
              </font>
            </x14:dxf>
          </x14:cfRule>
          <xm:sqref>AB43</xm:sqref>
        </x14:conditionalFormatting>
        <x14:conditionalFormatting xmlns:xm="http://schemas.microsoft.com/office/excel/2006/main">
          <x14:cfRule type="expression" priority="5084" id="{61AEFFEA-DC4F-47E2-B4B0-A125659C6803}">
            <xm:f>AND(VLOOKUP(C6,Calendars!$V:$AB,MATCH($X$1,Calendars!$V$1:$AB$1,0),FALSE)="Non Contract",$C$5&gt;0)</xm:f>
            <x14:dxf>
              <fill>
                <patternFill patternType="solid">
                  <fgColor theme="4" tint="0.79998168889431442"/>
                  <bgColor theme="8" tint="0.79995117038483843"/>
                </patternFill>
              </fill>
            </x14:dxf>
          </x14:cfRule>
          <xm:sqref>C5:G5 C7:G7 C9:G9 C11:G11 C13:G13 J5:N5 J7:N7 J9:N9 J11:N11 J13:N13 Q5:U5 Q7:U7 Q9:U9 Q11:U11 Q13:U13 X5:AB5 X7:AB7 X9:AB9 X11:AB11 X13:AB13 C16:G16 C18:G18 C20:G20 C22:G22 C24:G24 J16:N16 J18:N18 J20:N20 J22:N22 J24:N24 Q16:U16 Q18:U18 Q20:U20 Q22:U22 Q24:U24 X16:AB16 X18:AB18 X20:AB20 X22:AB22 X24:AB24 C27:G27 C29:G29 C31:G31 C33:G33 C35:G35 J27:N27 J29:N29 J31:N31 J33:N33 J35:N35 Q27:U27 Q29:U29 Q31:U31 Q33:U33 Q35:U35 X27:AB27 X29:AB29 X31:AB31 X33:AB33 X35:AB35</xm:sqref>
        </x14:conditionalFormatting>
        <x14:conditionalFormatting xmlns:xm="http://schemas.microsoft.com/office/excel/2006/main">
          <x14:cfRule type="expression" priority="5094" id="{BA93C94C-16FD-4F53-9A82-8A29D2630394}">
            <xm:f>AND(VLOOKUP(C6,Calendars!$O:$U,MATCH($X$1,Calendars!$O$1:$U$1,0),FALSE)="",C5=0)</xm:f>
            <x14:dxf>
              <fill>
                <patternFill>
                  <bgColor theme="7" tint="0.79998168889431442"/>
                </patternFill>
              </fill>
            </x14:dxf>
          </x14:cfRule>
          <xm:sqref>C5:G5 C7:G7 C9:G9 C11:G11 C13:G13 J5:N5 J7:N7 J9:N9 J11:N11 J13:N13 Q5:U5 Q7:U7 Q9:U9 Q11:U11 Q13:U13 X5:AB5 X7:AB7 X9:AB9 X11:AB11 X13:AB13 C16:G16 C18:G18 C20:G20 C22:G22 C24:G24 J16:N16 J18:N18 J20:N20 J22:N22 J24:N24 Q16:U16 Q18:U18 Q20:U20 Q22:U22 Q24:U24 X16:AB16 X18:AB18 X20:AB20 X22:AB22 X24:AB24 C27:G27 C29:G29 C31:G31 C33:G33 C35:G35 J27:N27 J29:N29 J31:N31 J33:N33 J35:N35 Q27:U27 Q29:U29 Q31:U31 Q33:U33 Q35:U35 X27:AB27 X29:AB29 X31:AB31 X33:AB33 X35:AB35</xm:sqref>
        </x14:conditionalFormatting>
        <x14:conditionalFormatting xmlns:xm="http://schemas.microsoft.com/office/excel/2006/main">
          <x14:cfRule type="expression" priority="5083" id="{996E1E6C-4A18-4B81-AC98-466691C2E5F6}">
            <xm:f>VLOOKUP(C6,Calendars!$O:$U,MATCH($X$1,Calendars!$O$1:$U$1,0),FALSE)="Non Contract"</xm:f>
            <x14:dxf>
              <fill>
                <patternFill patternType="lightDown"/>
              </fill>
              <border>
                <bottom/>
              </border>
            </x14:dxf>
          </x14:cfRule>
          <x14:cfRule type="expression" priority="5092" id="{B997F796-70BB-486E-A736-F150A28BEB49}">
            <xm:f>VLOOKUP(C6,Calendars!$O:$U,MATCH($X$1,Calendars!$O$1:$U$1,0),FALSE)="Holiday"</xm:f>
            <x14:dxf>
              <fill>
                <patternFill>
                  <bgColor rgb="FFFF99FF"/>
                </patternFill>
              </fill>
              <border>
                <bottom/>
              </border>
            </x14:dxf>
          </x14:cfRule>
          <xm:sqref>C5:G5 C7:G7 C9:G9 C11:G11 C13:G13 J5:N5 J7:N7 J9:N9 J11:N11 J13:N13 Q5:U5 Q7:U7 Q9:U9 Q11:U11 Q13:U13 X5:AB5 X7:AB7 X9:AB9 X11:AB11 X13:AB13 C16:G16 C18:G18 C20:G20 C22:G22 C24:G24 J16:N16 J18:N18 J20:N20 J22:N22 J24:N24 Q16:U16 Q18:U18 Q20:U20 Q22:U22 Q24:U24 X16:AB16 X18:AB18 X20:AB20 X22:AB22 X24:AB24 C27:G27 C29:G29 C31:G31 C33:G33 C35:G35 J27:N27 J29:N29 J31:N31 J33:N33 J35:N35 Q27:U27 Q29:U29 Q31:U31 Q33:U33 Q35:U35 X27:AB27 X29:AB29 X31:AB31 X33:AB33 X35:AB35</xm:sqref>
        </x14:conditionalFormatting>
        <x14:conditionalFormatting xmlns:xm="http://schemas.microsoft.com/office/excel/2006/main">
          <x14:cfRule type="expression" priority="2" id="{325CCF8B-7B24-4788-9947-8B871E2D94D7}">
            <xm:f>VLOOKUP(Q19,Calendars!$V:$AB,MATCH($X$1,Calendars!$V$1:$AB$1,0),FALSE)="HW"</xm:f>
            <x14:dxf>
              <fill>
                <patternFill>
                  <bgColor rgb="FF00B050"/>
                </patternFill>
              </fill>
            </x14:dxf>
          </x14:cfRule>
          <xm:sqref>Q19:U19</xm:sqref>
        </x14:conditionalFormatting>
        <x14:conditionalFormatting xmlns:xm="http://schemas.microsoft.com/office/excel/2006/main">
          <x14:cfRule type="expression" priority="1" id="{6BED4D32-F4CD-459C-997A-E6A2A8365B11}">
            <xm:f>VLOOKUP(J23,Calendars!$V:$AC,MATCH($X$1,Calendars!$V$1:$AC$1,0),FALSE)="Flex"</xm:f>
            <x14:dxf>
              <fill>
                <patternFill>
                  <bgColor rgb="FF0070C0"/>
                </patternFill>
              </fill>
            </x14:dxf>
          </x14:cfRule>
          <xm:sqref>J23:L23</xm:sqref>
        </x14:conditionalFormatting>
        <x14:conditionalFormatting xmlns:xm="http://schemas.microsoft.com/office/excel/2006/main">
          <x14:cfRule type="expression" priority="37215" id="{32377F8E-9F68-47C0-B46F-FFC892982B1E}">
            <xm:f>VLOOKUP(X39,Calendars!$P$1:$Y$398,MATCH($X$1:$Y$1,Calendars!$P$1:$Y$1,0),FALSE)=""</xm:f>
            <x14:dxf>
              <fill>
                <patternFill>
                  <bgColor theme="7" tint="0.79998168889431442"/>
                </patternFill>
              </fill>
            </x14:dxf>
          </x14:cfRule>
          <xm:sqref>X40:AB40 X38:AB38</xm:sqref>
        </x14:conditionalFormatting>
        <x14:conditionalFormatting xmlns:xm="http://schemas.microsoft.com/office/excel/2006/main">
          <x14:cfRule type="expression" priority="37217" id="{C84BF6E1-80A8-44FB-A2A3-067025583DD3}">
            <xm:f>VLOOKUP(X39,Calendars!$P$1:$Y$398,MATCH($X$1:$Y$1,Calendars!$P$1:$Y$1,0),FALSE)="Holiday"</xm:f>
            <x14:dxf>
              <fill>
                <patternFill>
                  <bgColor rgb="FFFF99FF"/>
                </patternFill>
              </fill>
              <border>
                <bottom/>
              </border>
            </x14:dxf>
          </x14:cfRule>
          <x14:cfRule type="expression" priority="37218" id="{6FB658F8-6184-4D36-8440-372B4590750A}">
            <xm:f>VLOOKUP(X39,Calendars!$P$1:$Y$398,MATCH($X$1:$Y$1,Calendars!$P$1:$Y$1,0),FALSE)="Non Contract"</xm:f>
            <x14:dxf>
              <fill>
                <patternFill patternType="lightDown"/>
              </fill>
              <border>
                <bottom/>
              </border>
            </x14:dxf>
          </x14:cfRule>
          <xm:sqref>X40:AB40 X38:AB38</xm:sqref>
        </x14:conditionalFormatting>
        <x14:conditionalFormatting xmlns:xm="http://schemas.microsoft.com/office/excel/2006/main">
          <x14:cfRule type="expression" priority="37221" id="{3A40157E-39C9-4262-B53E-5EBE5F7C318C}">
            <xm:f>VLOOKUP(X39,Calendars!$P$1:$Y$398,MATCH($X$1,Calendars!$P$1:$Y$1,0),FALSE)="MPTC"</xm:f>
            <x14:dxf>
              <fill>
                <patternFill>
                  <bgColor theme="5" tint="0.39994506668294322"/>
                </patternFill>
              </fill>
            </x14:dxf>
          </x14:cfRule>
          <x14:cfRule type="expression" priority="37222" id="{86A19AD4-970E-4352-8B7C-13BE293CB0CB}">
            <xm:f>VLOOKUP(X39,Calendars!$P$1:$Y$398,MATCH($X$1,Calendars!$P$1:$Y$1,0),FALSE)="PTC"</xm:f>
            <x14:dxf>
              <fill>
                <patternFill>
                  <bgColor theme="5" tint="-0.24994659260841701"/>
                </patternFill>
              </fill>
            </x14:dxf>
          </x14:cfRule>
          <x14:cfRule type="expression" priority="37223" id="{2E60D017-DB62-4679-A9FA-9A72F1F4A618}">
            <xm:f>VLOOKUP(X39,Calendars!$P$1:$Y$398,MATCH($X$1,Calendars!$P$1:$Y$1,0),FALSE)="PD"</xm:f>
            <x14:dxf>
              <fill>
                <patternFill>
                  <bgColor rgb="FF0070C0"/>
                </patternFill>
              </fill>
            </x14:dxf>
          </x14:cfRule>
          <x14:cfRule type="expression" priority="37224" id="{6FA4BE80-543D-47F5-B36A-657DD63C6427}">
            <xm:f>VLOOKUP(X39,Calendars!$P$1:$Y$398,MATCH($X$1,Calendars!$P$1:$Y$1,0),FALSE)="Non Contract"</xm:f>
            <x14:dxf>
              <fill>
                <patternFill patternType="lightDown"/>
              </fill>
            </x14:dxf>
          </x14:cfRule>
          <x14:cfRule type="expression" priority="37225" id="{F02D9502-DA47-46CD-BD4E-4D777B7D3068}">
            <xm:f>VLOOKUP(X39,Calendars!$P$1:$Y$398,MATCH($X$1,Calendars!$P$1:$Y$1,0),FALSE)="Holiday"</xm:f>
            <x14:dxf>
              <fill>
                <patternFill>
                  <bgColor rgb="FFFF99FF"/>
                </patternFill>
              </fill>
            </x14:dxf>
          </x14:cfRule>
          <xm:sqref>X41:AB41 X39:AB39</xm:sqref>
        </x14:conditionalFormatting>
        <x14:conditionalFormatting xmlns:xm="http://schemas.microsoft.com/office/excel/2006/main">
          <x14:cfRule type="expression" priority="37290" id="{EE0F7C05-2AF0-41D4-B279-65C2AF667FCE}">
            <xm:f>VLOOKUP(C6,Calendars!$V:$AB,MATCH($X$1,Calendars!$V$1:$AB$1,0),FALSE)="MPTC"</xm:f>
            <x14:dxf>
              <fill>
                <patternFill>
                  <bgColor theme="5" tint="0.39994506668294322"/>
                </patternFill>
              </fill>
            </x14:dxf>
          </x14:cfRule>
          <x14:cfRule type="expression" priority="37291" id="{7D7CCB68-8912-46AE-86D6-C42A11300146}">
            <xm:f>VLOOKUP(C6,Calendars!$V:$AC,MATCH($X$1,Calendars!$V$1:$AC$1,0),FALSE)="PTC"</xm:f>
            <x14:dxf>
              <fill>
                <patternFill>
                  <bgColor theme="5" tint="-0.24994659260841701"/>
                </patternFill>
              </fill>
            </x14:dxf>
          </x14:cfRule>
          <x14:cfRule type="expression" priority="37292" id="{3FD72A62-7BDC-4972-B7E3-24EC30CAC81F}">
            <xm:f>VLOOKUP(C6,Calendars!$V:$AC,MATCH($X$1,Calendars!$V$1:$AC$1,0),FALSE)="PD"</xm:f>
            <x14:dxf>
              <fill>
                <patternFill>
                  <bgColor rgb="FF0070C0"/>
                </patternFill>
              </fill>
            </x14:dxf>
          </x14:cfRule>
          <x14:cfRule type="expression" priority="37293" id="{41A716A4-5F0C-4CC1-B332-B72A92F01F1C}">
            <xm:f>VLOOKUP(C6,Calendars!$O:$U,MATCH($X$1,Calendars!$O$1:$U$1,0),FALSE)="Non Contract"</xm:f>
            <x14:dxf>
              <fill>
                <patternFill patternType="lightDown"/>
              </fill>
            </x14:dxf>
          </x14:cfRule>
          <x14:cfRule type="expression" priority="37294" id="{BC86375F-C83B-4A1B-BB03-5C65D933F070}">
            <xm:f>VLOOKUP(C6,Calendars!$O:$U,MATCH($X$1,Calendars!$O$1:$U$1,0),FALSE)="Holiday"</xm:f>
            <x14:dxf>
              <fill>
                <patternFill>
                  <bgColor rgb="FFFF99FF"/>
                </patternFill>
              </fill>
            </x14:dxf>
          </x14:cfRule>
          <xm:sqref>C6:G6 C8:G8 C10:G10 C12:G12 C14:G14 J6:N6 J8:N8 J10:N10 J12:N12 J14:N14 Q6:U6 Q8:U8 Q10:U10 Q12:U12 Q14:U14 X6:AB6 X8:AB8 X10:AB10 X12:AB12 X14:AB14 C17:G17 C19:G19 C21:G21 C23:G23 C25:G25 J17:N17 J19:N19 J21:N21 J23:N23 J25:N25 Q17:U17 Q19:U19 Q21:U21 Q23:U23 Q25:U25 X17:AB17 X19:AB19 X21:AB21 X23:AB23 X25:AB25 C30:G30 C32:G32 C34:G34 C36:G36 J28:N28 J30:N30 J32:N32 J34:N34 J36:N36 Q28:U28 Q30:U30 Q32:U32 Q34:U34 Q36:U36 X28:AB28 X30:AB30 X32:AB32 X34:AB34 X36:AB36 C28:G28</xm:sqref>
        </x14:conditionalFormatting>
      </x14:conditionalFormattings>
    </ext>
    <ext xmlns:x14="http://schemas.microsoft.com/office/spreadsheetml/2009/9/main" uri="{CCE6A557-97BC-4b89-ADB6-D9C93CAAB3DF}">
      <x14:dataValidations xmlns:xm="http://schemas.microsoft.com/office/excel/2006/main" xWindow="252" yWindow="270" count="2">
        <x14:dataValidation type="list" allowBlank="1" showInputMessage="1" showErrorMessage="1" xr:uid="{FB04A8AD-6B28-45FB-B39D-125525A12830}">
          <x14:formula1>
            <xm:f>Calendars!$AM$2:$AM$115</xm:f>
          </x14:formula1>
          <xm:sqref>D2:I2 O2:T2</xm:sqref>
        </x14:dataValidation>
        <x14:dataValidation type="list" allowBlank="1" showErrorMessage="1" promptTitle="Contract Days" prompt="Year Round = 177_x000a_Traditional = 185" xr:uid="{1D7953BB-B834-4DEB-9D24-BC56EE499578}">
          <x14:formula1>
            <xm:f>Calendars!$Q$1:$U$1</xm:f>
          </x14:formula1>
          <xm:sqref>X1:Y1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1">
    <pageSetUpPr fitToPage="1"/>
  </sheetPr>
  <dimension ref="A1:AO55"/>
  <sheetViews>
    <sheetView showGridLines="0" view="pageLayout" zoomScale="75" zoomScaleNormal="100" zoomScalePageLayoutView="75" workbookViewId="0">
      <selection activeCell="P1" sqref="P1:T1"/>
    </sheetView>
  </sheetViews>
  <sheetFormatPr defaultColWidth="5.5703125" defaultRowHeight="15" x14ac:dyDescent="0.25"/>
  <cols>
    <col min="1" max="1" width="9.85546875" customWidth="1"/>
    <col min="2" max="4" width="7.140625" customWidth="1"/>
    <col min="5" max="5" width="6.85546875" customWidth="1"/>
    <col min="6" max="29" width="7.140625" customWidth="1"/>
    <col min="30" max="30" width="9.85546875" customWidth="1"/>
  </cols>
  <sheetData>
    <row r="1" spans="1:34" ht="39" customHeight="1" x14ac:dyDescent="0.3">
      <c r="A1" s="32"/>
      <c r="B1" s="276" t="s">
        <v>211</v>
      </c>
      <c r="C1" s="276"/>
      <c r="D1" s="275">
        <f>'Location A'!D1</f>
        <v>0</v>
      </c>
      <c r="E1" s="275"/>
      <c r="F1" s="275"/>
      <c r="G1" s="275"/>
      <c r="H1" s="275"/>
      <c r="I1" s="275"/>
      <c r="J1" s="275"/>
      <c r="K1" s="275"/>
      <c r="L1" s="275"/>
      <c r="M1" s="283" t="s">
        <v>210</v>
      </c>
      <c r="N1" s="283"/>
      <c r="O1" s="283"/>
      <c r="P1" s="275"/>
      <c r="Q1" s="275"/>
      <c r="R1" s="275"/>
      <c r="S1" s="275"/>
      <c r="T1" s="275"/>
      <c r="U1" s="62" t="e">
        <f>VLOOKUP(S1,Sheet1!A2:B186,2,FALSE)</f>
        <v>#N/A</v>
      </c>
      <c r="V1" s="276" t="s">
        <v>53</v>
      </c>
      <c r="W1" s="276"/>
      <c r="X1" s="251"/>
      <c r="Y1" s="251"/>
      <c r="Z1" s="11"/>
      <c r="AA1" s="253" t="s">
        <v>78</v>
      </c>
      <c r="AB1" s="253"/>
      <c r="AC1" s="238" t="s">
        <v>74</v>
      </c>
      <c r="AD1" s="238"/>
    </row>
    <row r="2" spans="1:34" ht="34.5" customHeight="1" x14ac:dyDescent="0.3">
      <c r="A2" s="32"/>
      <c r="B2" s="276" t="s">
        <v>206</v>
      </c>
      <c r="C2" s="276"/>
      <c r="D2" s="277">
        <f>'Location A'!O2</f>
        <v>0</v>
      </c>
      <c r="E2" s="277"/>
      <c r="F2" s="277"/>
      <c r="G2" s="277"/>
      <c r="H2" s="277"/>
      <c r="I2" s="277"/>
      <c r="J2" s="278" t="s">
        <v>181</v>
      </c>
      <c r="K2" s="278"/>
      <c r="L2" s="36"/>
      <c r="M2" s="254" t="s">
        <v>205</v>
      </c>
      <c r="N2" s="254"/>
      <c r="O2" s="277">
        <f>'Location A'!D2</f>
        <v>0</v>
      </c>
      <c r="P2" s="277"/>
      <c r="Q2" s="277"/>
      <c r="R2" s="277"/>
      <c r="S2" s="277"/>
      <c r="T2" s="277"/>
      <c r="U2" s="279" t="s">
        <v>209</v>
      </c>
      <c r="V2" s="279"/>
      <c r="W2" s="279"/>
      <c r="X2" s="250" t="e">
        <f>ROUNDUP(SUM(HLOOKUP(X1,Calendars!$R$1:$Y$2,2,FALSE)*L2),1)</f>
        <v>#N/A</v>
      </c>
      <c r="Y2" s="250"/>
      <c r="Z2" s="11"/>
      <c r="AA2" s="11"/>
      <c r="AB2" s="11"/>
      <c r="AD2" s="11"/>
    </row>
    <row r="3" spans="1:34" ht="15.75" x14ac:dyDescent="0.25">
      <c r="A3" s="28"/>
      <c r="B3" s="171"/>
      <c r="C3" s="171"/>
      <c r="D3" s="171"/>
      <c r="E3" s="171"/>
      <c r="F3" s="171"/>
      <c r="G3" s="171"/>
      <c r="H3" s="34"/>
      <c r="I3" s="171"/>
      <c r="J3" s="171"/>
      <c r="K3" s="171"/>
      <c r="L3" s="171"/>
      <c r="M3" s="171"/>
      <c r="N3" s="171"/>
      <c r="O3" s="171"/>
      <c r="P3" s="171"/>
      <c r="Q3" s="171"/>
      <c r="R3" s="171"/>
      <c r="S3" s="171"/>
      <c r="T3" s="171"/>
      <c r="U3" s="171"/>
      <c r="V3" s="171"/>
      <c r="W3" s="171"/>
      <c r="X3" s="171"/>
      <c r="Y3" s="171"/>
      <c r="Z3" s="11"/>
      <c r="AA3" s="11"/>
      <c r="AB3" s="11"/>
      <c r="AC3" s="11"/>
      <c r="AD3" s="11"/>
    </row>
    <row r="4" spans="1:34" ht="15.75" thickBot="1" x14ac:dyDescent="0.3">
      <c r="A4" s="29"/>
      <c r="B4" s="29"/>
      <c r="C4" s="29" t="s">
        <v>0</v>
      </c>
      <c r="D4" s="29" t="s">
        <v>1</v>
      </c>
      <c r="E4" s="29" t="s">
        <v>2</v>
      </c>
      <c r="F4" s="29" t="s">
        <v>3</v>
      </c>
      <c r="G4" s="29" t="s">
        <v>4</v>
      </c>
      <c r="H4" s="29"/>
      <c r="I4" s="29"/>
      <c r="J4" s="29" t="s">
        <v>0</v>
      </c>
      <c r="K4" s="29" t="s">
        <v>1</v>
      </c>
      <c r="L4" s="29" t="s">
        <v>2</v>
      </c>
      <c r="M4" s="29" t="s">
        <v>3</v>
      </c>
      <c r="N4" s="29" t="s">
        <v>4</v>
      </c>
      <c r="O4" s="29"/>
      <c r="P4" s="29"/>
      <c r="Q4" s="29" t="s">
        <v>0</v>
      </c>
      <c r="R4" s="29" t="s">
        <v>1</v>
      </c>
      <c r="S4" s="29" t="s">
        <v>2</v>
      </c>
      <c r="T4" s="29" t="s">
        <v>3</v>
      </c>
      <c r="U4" s="29" t="s">
        <v>4</v>
      </c>
      <c r="V4" s="29"/>
      <c r="W4" s="29"/>
      <c r="X4" s="29" t="s">
        <v>0</v>
      </c>
      <c r="Y4" s="29" t="s">
        <v>1</v>
      </c>
      <c r="Z4" s="29" t="s">
        <v>2</v>
      </c>
      <c r="AA4" s="29" t="s">
        <v>3</v>
      </c>
      <c r="AB4" s="29" t="s">
        <v>4</v>
      </c>
      <c r="AC4" s="16"/>
      <c r="AD4" s="11"/>
    </row>
    <row r="5" spans="1:34" ht="16.5" customHeight="1" x14ac:dyDescent="0.25">
      <c r="A5" s="24"/>
      <c r="B5" s="280" t="s">
        <v>5</v>
      </c>
      <c r="C5" s="164"/>
      <c r="D5" s="165"/>
      <c r="E5" s="165"/>
      <c r="F5" s="165"/>
      <c r="G5" s="166"/>
      <c r="H5" s="27"/>
      <c r="I5" s="255" t="s">
        <v>6</v>
      </c>
      <c r="J5" s="164"/>
      <c r="K5" s="165"/>
      <c r="L5" s="165"/>
      <c r="M5" s="165"/>
      <c r="N5" s="166"/>
      <c r="O5" s="25"/>
      <c r="P5" s="261" t="s">
        <v>7</v>
      </c>
      <c r="Q5" s="164"/>
      <c r="R5" s="165"/>
      <c r="S5" s="165"/>
      <c r="T5" s="165"/>
      <c r="U5" s="166"/>
      <c r="V5" s="25"/>
      <c r="W5" s="239" t="s">
        <v>8</v>
      </c>
      <c r="X5" s="164"/>
      <c r="Y5" s="165"/>
      <c r="Z5" s="165"/>
      <c r="AA5" s="165"/>
      <c r="AB5" s="166"/>
      <c r="AC5" s="33"/>
      <c r="AD5" s="11"/>
    </row>
    <row r="6" spans="1:34" x14ac:dyDescent="0.25">
      <c r="A6" s="16"/>
      <c r="B6" s="281"/>
      <c r="C6" s="88" t="str">
        <f>IF(AND(YEAR(July1OffSet+2)=BegCalYear,MONTH(July1OffSet+2)=7),July1OffSet+2,"")</f>
        <v/>
      </c>
      <c r="D6" s="174" t="str">
        <f>IF(AND(YEAR(July1OffSet+3)=BegCalYear,MONTH(July1OffSet+3)=7),July1OffSet+3,"")</f>
        <v/>
      </c>
      <c r="E6" s="174">
        <f>IF(AND(YEAR(July1OffSet+4)=BegCalYear,MONTH(July1OffSet+4)=7),July1OffSet+4,"")</f>
        <v>46204</v>
      </c>
      <c r="F6" s="174">
        <f>IF(AND(YEAR(July1OffSet+5)=BegCalYear,MONTH(July1OffSet+5)=7),July1OffSet+5,"")</f>
        <v>46205</v>
      </c>
      <c r="G6" s="173">
        <f>IF(AND(YEAR(July1OffSet+6)=BegCalYear,MONTH(July1OffSet+6)=7),July1OffSet+6,"")</f>
        <v>46206</v>
      </c>
      <c r="H6" s="76"/>
      <c r="I6" s="256"/>
      <c r="J6" s="88" t="str">
        <f>IF(AND(YEAR(OctOffSet+2)=BegCalYear,MONTH(OctOffSet+2)=10),OctOffSet+2,"")</f>
        <v/>
      </c>
      <c r="K6" s="174" t="str">
        <f>IF(AND(YEAR(OctOffSet+3)=BegCalYear,MONTH(OctOffSet+3)=10),OctOffSet+3,"")</f>
        <v/>
      </c>
      <c r="L6" s="174" t="str">
        <f>IF(AND(YEAR(OctOffSet+4)=BegCalYear,MONTH(OctOffSet+4)=10),OctOffSet+4,"")</f>
        <v/>
      </c>
      <c r="M6" s="174">
        <f>IF(AND(YEAR(OctOffSet+5)=BegCalYear,MONTH(OctOffSet+5)=10),OctOffSet+5,"")</f>
        <v>46296</v>
      </c>
      <c r="N6" s="173">
        <f>IF(AND(YEAR(OctOffSet+6)=BegCalYear,MONTH(OctOffSet+6)=10),OctOffSet+6,"")</f>
        <v>46297</v>
      </c>
      <c r="O6" s="25"/>
      <c r="P6" s="262"/>
      <c r="Q6" s="88" t="str">
        <f>IF(AND(YEAR(JanOffSet+2)=CalendarYear,MONTH(JanOffSet+2)=1),JanOffSet+2,"")</f>
        <v/>
      </c>
      <c r="R6" s="174" t="str">
        <f>IF(AND(YEAR(JanOffSet+3)=CalendarYear,MONTH(JanOffSet+3)=1),JanOffSet+3,"")</f>
        <v/>
      </c>
      <c r="S6" s="174" t="str">
        <f>IF(AND(YEAR(JanOffSet+4)=CalendarYear,MONTH(JanOffSet+4)=1),JanOffSet+4,"")</f>
        <v/>
      </c>
      <c r="T6" s="174" t="str">
        <f>IF(AND(YEAR(JanOffSet+5)=CalendarYear,MONTH(JanOffSet+5)=1),JanOffSet+5,"")</f>
        <v/>
      </c>
      <c r="U6" s="173">
        <f>IF(AND(YEAR(JanOffSet+6)=CalendarYear,MONTH(JanOffSet+6)=1),JanOffSet+6,"")</f>
        <v>46388</v>
      </c>
      <c r="V6" s="25"/>
      <c r="W6" s="240"/>
      <c r="X6" s="88" t="str">
        <f>IF(AND(YEAR(AprOffSet+2)=CalendarYear,MONTH(AprOffSet+2)=4),AprOffSet+2,"")</f>
        <v/>
      </c>
      <c r="Y6" s="174" t="str">
        <f>IF(AND(YEAR(AprOffSet+3)=CalendarYear,MONTH(AprOffSet+3)=4),AprOffSet+3,"")</f>
        <v/>
      </c>
      <c r="Z6" s="174" t="str">
        <f>IF(AND(YEAR(AprOffSet+4)=CalendarYear,MONTH(AprOffSet+4)=4),AprOffSet+4,"")</f>
        <v/>
      </c>
      <c r="AA6" s="174">
        <f>IF(AND(YEAR(AprOffSet+5)=CalendarYear,MONTH(AprOffSet+5)=4),AprOffSet+5,"")</f>
        <v>46478</v>
      </c>
      <c r="AB6" s="173">
        <f>IF(AND(YEAR(AprOffSet+6)=CalendarYear,MONTH(AprOffSet+6)=4),AprOffSet+6,"")</f>
        <v>46479</v>
      </c>
      <c r="AC6" s="33"/>
      <c r="AD6" s="11"/>
    </row>
    <row r="7" spans="1:34" x14ac:dyDescent="0.25">
      <c r="A7" s="25"/>
      <c r="B7" s="281"/>
      <c r="C7" s="167"/>
      <c r="D7" s="168"/>
      <c r="E7" s="168"/>
      <c r="F7" s="168"/>
      <c r="G7" s="169"/>
      <c r="H7" s="76"/>
      <c r="I7" s="256"/>
      <c r="J7" s="167"/>
      <c r="K7" s="168"/>
      <c r="L7" s="168"/>
      <c r="M7" s="168"/>
      <c r="N7" s="169"/>
      <c r="O7" s="25"/>
      <c r="P7" s="262"/>
      <c r="Q7" s="167"/>
      <c r="R7" s="168"/>
      <c r="S7" s="168"/>
      <c r="T7" s="168"/>
      <c r="U7" s="169"/>
      <c r="V7" s="25"/>
      <c r="W7" s="240"/>
      <c r="X7" s="167"/>
      <c r="Y7" s="168"/>
      <c r="Z7" s="168"/>
      <c r="AA7" s="168"/>
      <c r="AB7" s="169"/>
      <c r="AC7" s="33"/>
      <c r="AD7" s="11"/>
    </row>
    <row r="8" spans="1:34" x14ac:dyDescent="0.25">
      <c r="A8" s="25"/>
      <c r="B8" s="281"/>
      <c r="C8" s="88">
        <f>IF(AND(YEAR(July1OffSet+9)=BegCalYear,MONTH(July1OffSet+9)=7),July1OffSet+9,"")</f>
        <v>46209</v>
      </c>
      <c r="D8" s="174">
        <f>IF(AND(YEAR(July1OffSet+10)=BegCalYear,MONTH(July1OffSet+10)=7),July1OffSet+10,"")</f>
        <v>46210</v>
      </c>
      <c r="E8" s="174">
        <f>IF(AND(YEAR(July1OffSet+11)=BegCalYear,MONTH(July1OffSet+11)=7),July1OffSet+11,"")</f>
        <v>46211</v>
      </c>
      <c r="F8" s="174">
        <f>IF(AND(YEAR(July1OffSet+12)=BegCalYear,MONTH(July1OffSet+12)=7),July1OffSet+12,"")</f>
        <v>46212</v>
      </c>
      <c r="G8" s="173">
        <f>IF(AND(YEAR(July1OffSet+13)=BegCalYear,MONTH(July1OffSet+13)=7),July1OffSet+13,"")</f>
        <v>46213</v>
      </c>
      <c r="H8" s="76"/>
      <c r="I8" s="256"/>
      <c r="J8" s="88">
        <f>IF(AND(YEAR(OctOffSet+9)=BegCalYear,MONTH(OctOffSet+9)=10),OctOffSet+9,"")</f>
        <v>46300</v>
      </c>
      <c r="K8" s="174">
        <f>IF(AND(YEAR(OctOffSet+10)=BegCalYear,MONTH(OctOffSet+10)=10),OctOffSet+10,"")</f>
        <v>46301</v>
      </c>
      <c r="L8" s="174">
        <f>IF(AND(YEAR(OctOffSet+11)=BegCalYear,MONTH(OctOffSet+11)=10),OctOffSet+11,"")</f>
        <v>46302</v>
      </c>
      <c r="M8" s="174">
        <f>IF(AND(YEAR(OctOffSet+12)=BegCalYear,MONTH(OctOffSet+12)=10),OctOffSet+12,"")</f>
        <v>46303</v>
      </c>
      <c r="N8" s="173">
        <f>IF(AND(YEAR(OctOffSet+13)=BegCalYear,MONTH(OctOffSet+13)=10),OctOffSet+13,"")</f>
        <v>46304</v>
      </c>
      <c r="O8" s="25"/>
      <c r="P8" s="262"/>
      <c r="Q8" s="88">
        <f>IF(AND(YEAR(JanOffSet+9)=CalendarYear,MONTH(JanOffSet+9)=1),JanOffSet+9,"")</f>
        <v>46391</v>
      </c>
      <c r="R8" s="174">
        <f>IF(AND(YEAR(JanOffSet+10)=CalendarYear,MONTH(JanOffSet+10)=1),JanOffSet+10,"")</f>
        <v>46392</v>
      </c>
      <c r="S8" s="174">
        <f>IF(AND(YEAR(JanOffSet+11)=CalendarYear,MONTH(JanOffSet+11)=1),JanOffSet+11,"")</f>
        <v>46393</v>
      </c>
      <c r="T8" s="174">
        <f>IF(AND(YEAR(JanOffSet+12)=CalendarYear,MONTH(JanOffSet+12)=1),JanOffSet+12,"")</f>
        <v>46394</v>
      </c>
      <c r="U8" s="173">
        <f>IF(AND(YEAR(JanOffSet+13)=CalendarYear,MONTH(JanOffSet+13)=1),JanOffSet+13,"")</f>
        <v>46395</v>
      </c>
      <c r="V8" s="25"/>
      <c r="W8" s="240"/>
      <c r="X8" s="88">
        <f>IF(AND(YEAR(AprOffSet+9)=CalendarYear,MONTH(AprOffSet+9)=4),AprOffSet+9,"")</f>
        <v>46482</v>
      </c>
      <c r="Y8" s="174">
        <f>IF(AND(YEAR(AprOffSet+10)=CalendarYear,MONTH(AprOffSet+10)=4),AprOffSet+10,"")</f>
        <v>46483</v>
      </c>
      <c r="Z8" s="174">
        <f>IF(AND(YEAR(AprOffSet+11)=CalendarYear,MONTH(AprOffSet+11)=4),AprOffSet+11,"")</f>
        <v>46484</v>
      </c>
      <c r="AA8" s="174">
        <f>IF(AND(YEAR(AprOffSet+12)=CalendarYear,MONTH(AprOffSet+12)=4),AprOffSet+12,"")</f>
        <v>46485</v>
      </c>
      <c r="AB8" s="173">
        <f>IF(AND(YEAR(AprOffSet+13)=CalendarYear,MONTH(AprOffSet+13)=4),AprOffSet+13,"")</f>
        <v>46486</v>
      </c>
      <c r="AC8" s="33"/>
      <c r="AD8" s="11"/>
      <c r="AE8" s="1"/>
      <c r="AF8" s="1"/>
      <c r="AG8" s="1"/>
      <c r="AH8" s="1"/>
    </row>
    <row r="9" spans="1:34" ht="15" customHeight="1" x14ac:dyDescent="0.25">
      <c r="A9" s="24"/>
      <c r="B9" s="281"/>
      <c r="C9" s="167"/>
      <c r="D9" s="168"/>
      <c r="E9" s="168"/>
      <c r="F9" s="168"/>
      <c r="G9" s="169"/>
      <c r="H9" s="76"/>
      <c r="I9" s="256"/>
      <c r="J9" s="167"/>
      <c r="K9" s="168"/>
      <c r="L9" s="168"/>
      <c r="M9" s="168"/>
      <c r="N9" s="169"/>
      <c r="O9" s="27"/>
      <c r="P9" s="262"/>
      <c r="Q9" s="167"/>
      <c r="R9" s="168"/>
      <c r="S9" s="168"/>
      <c r="T9" s="168"/>
      <c r="U9" s="169"/>
      <c r="V9" s="25"/>
      <c r="W9" s="240"/>
      <c r="X9" s="167"/>
      <c r="Y9" s="168"/>
      <c r="Z9" s="168"/>
      <c r="AA9" s="168"/>
      <c r="AB9" s="169"/>
      <c r="AC9" s="33"/>
      <c r="AD9" s="11"/>
    </row>
    <row r="10" spans="1:34" x14ac:dyDescent="0.25">
      <c r="A10" s="18"/>
      <c r="B10" s="281"/>
      <c r="C10" s="88">
        <f>IF(AND(YEAR(July1OffSet+16)=BegCalYear,MONTH(July1OffSet+16)=7),July1OffSet+16,"")</f>
        <v>46216</v>
      </c>
      <c r="D10" s="174">
        <f>IF(AND(YEAR(July1OffSet+17)=BegCalYear,MONTH(July1OffSet+17)=7),July1OffSet+17,"")</f>
        <v>46217</v>
      </c>
      <c r="E10" s="174">
        <f>IF(AND(YEAR(July1OffSet+18)=BegCalYear,MONTH(July1OffSet+18)=7),July1OffSet+18,"")</f>
        <v>46218</v>
      </c>
      <c r="F10" s="174">
        <f>IF(AND(YEAR(July1OffSet+19)=BegCalYear,MONTH(July1OffSet+19)=7),July1OffSet+19,"")</f>
        <v>46219</v>
      </c>
      <c r="G10" s="173">
        <f>IF(AND(YEAR(July1OffSet+20)=BegCalYear,MONTH(July1OffSet+20)=7),July1OffSet+20,"")</f>
        <v>46220</v>
      </c>
      <c r="H10" s="76"/>
      <c r="I10" s="256"/>
      <c r="J10" s="88">
        <f>IF(AND(YEAR(OctOffSet+16)=BegCalYear,MONTH(OctOffSet+16)=10),OctOffSet+16,"")</f>
        <v>46307</v>
      </c>
      <c r="K10" s="174">
        <f>IF(AND(YEAR(OctOffSet+17)=BegCalYear,MONTH(OctOffSet+17)=10),OctOffSet+17,"")</f>
        <v>46308</v>
      </c>
      <c r="L10" s="174">
        <f>IF(AND(YEAR(OctOffSet+18)=BegCalYear,MONTH(OctOffSet+18)=10),OctOffSet+18,"")</f>
        <v>46309</v>
      </c>
      <c r="M10" s="174">
        <f>IF(AND(YEAR(OctOffSet+19)=BegCalYear,MONTH(OctOffSet+19)=10),OctOffSet+19,"")</f>
        <v>46310</v>
      </c>
      <c r="N10" s="173">
        <f>IF(AND(YEAR(OctOffSet+20)=BegCalYear,MONTH(OctOffSet+20)=10),OctOffSet+20,"")</f>
        <v>46311</v>
      </c>
      <c r="O10" s="25"/>
      <c r="P10" s="262"/>
      <c r="Q10" s="88">
        <f>IF(AND(YEAR(JanOffSet+16)=CalendarYear,MONTH(JanOffSet+16)=1),JanOffSet+16,"")</f>
        <v>46398</v>
      </c>
      <c r="R10" s="174">
        <f>IF(AND(YEAR(JanOffSet+17)=CalendarYear,MONTH(JanOffSet+17)=1),JanOffSet+17,"")</f>
        <v>46399</v>
      </c>
      <c r="S10" s="174">
        <f>IF(AND(YEAR(JanOffSet+18)=CalendarYear,MONTH(JanOffSet+18)=1),JanOffSet+18,"")</f>
        <v>46400</v>
      </c>
      <c r="T10" s="174">
        <f>IF(AND(YEAR(JanOffSet+19)=CalendarYear,MONTH(JanOffSet+19)=1),JanOffSet+19,"")</f>
        <v>46401</v>
      </c>
      <c r="U10" s="173">
        <f>IF(AND(YEAR(JanOffSet+20)=CalendarYear,MONTH(JanOffSet+20)=1),JanOffSet+20,"")</f>
        <v>46402</v>
      </c>
      <c r="V10" s="25"/>
      <c r="W10" s="240"/>
      <c r="X10" s="88">
        <f>IF(AND(YEAR(AprOffSet+16)=CalendarYear,MONTH(AprOffSet+16)=4),AprOffSet+16,"")</f>
        <v>46489</v>
      </c>
      <c r="Y10" s="174">
        <f>IF(AND(YEAR(AprOffSet+17)=CalendarYear,MONTH(AprOffSet+17)=4),AprOffSet+17,"")</f>
        <v>46490</v>
      </c>
      <c r="Z10" s="174">
        <f>IF(AND(YEAR(AprOffSet+18)=CalendarYear,MONTH(AprOffSet+18)=4),AprOffSet+18,"")</f>
        <v>46491</v>
      </c>
      <c r="AA10" s="174">
        <f>IF(AND(YEAR(AprOffSet+19)=CalendarYear,MONTH(AprOffSet+19)=4),AprOffSet+19,"")</f>
        <v>46492</v>
      </c>
      <c r="AB10" s="173">
        <f>IF(AND(YEAR(AprOffSet+20)=CalendarYear,MONTH(AprOffSet+20)=4),AprOffSet+20,"")</f>
        <v>46493</v>
      </c>
      <c r="AC10" s="33"/>
      <c r="AD10" s="11"/>
    </row>
    <row r="11" spans="1:34" ht="15" customHeight="1" x14ac:dyDescent="0.25">
      <c r="A11" s="18"/>
      <c r="B11" s="281"/>
      <c r="C11" s="167"/>
      <c r="D11" s="168"/>
      <c r="E11" s="168"/>
      <c r="F11" s="168"/>
      <c r="G11" s="169"/>
      <c r="H11" s="25" t="s">
        <v>9</v>
      </c>
      <c r="I11" s="256"/>
      <c r="J11" s="167"/>
      <c r="K11" s="168"/>
      <c r="L11" s="168"/>
      <c r="M11" s="168"/>
      <c r="N11" s="169"/>
      <c r="O11" s="25" t="s">
        <v>10</v>
      </c>
      <c r="P11" s="262"/>
      <c r="Q11" s="167"/>
      <c r="R11" s="168"/>
      <c r="S11" s="168"/>
      <c r="T11" s="168"/>
      <c r="U11" s="169"/>
      <c r="V11" s="77" t="s">
        <v>11</v>
      </c>
      <c r="W11" s="240"/>
      <c r="X11" s="167"/>
      <c r="Y11" s="168"/>
      <c r="Z11" s="168"/>
      <c r="AA11" s="168"/>
      <c r="AB11" s="169"/>
      <c r="AC11" s="77" t="s">
        <v>12</v>
      </c>
      <c r="AD11" s="11"/>
    </row>
    <row r="12" spans="1:34" ht="15" customHeight="1" x14ac:dyDescent="0.25">
      <c r="A12" s="18"/>
      <c r="B12" s="281"/>
      <c r="C12" s="88">
        <f>IF(AND(YEAR(July1OffSet+23)=BegCalYear,MONTH(July1OffSet+23)=7),July1OffSet+23,"")</f>
        <v>46223</v>
      </c>
      <c r="D12" s="174">
        <f>IF(AND(YEAR(July1OffSet+24)=BegCalYear,MONTH(July1OffSet+24)=7),July1OffSet+24,"")</f>
        <v>46224</v>
      </c>
      <c r="E12" s="174">
        <f>IF(AND(YEAR(July1OffSet+25)=BegCalYear,MONTH(July1OffSet+25)=7),July1OffSet+25,"")</f>
        <v>46225</v>
      </c>
      <c r="F12" s="174">
        <f>IF(AND(YEAR(July1OffSet+26)=BegCalYear,MONTH(July1OffSet+26)=7),July1OffSet+26,"")</f>
        <v>46226</v>
      </c>
      <c r="G12" s="173">
        <f>IF(AND(YEAR(July1OffSet+27)=BegCalYear,MONTH(July1OffSet+27)=7),July1OffSet+27,"")</f>
        <v>46227</v>
      </c>
      <c r="H12" s="25" t="s">
        <v>13</v>
      </c>
      <c r="I12" s="256"/>
      <c r="J12" s="88">
        <f>IF(AND(YEAR(OctOffSet+23)=BegCalYear,MONTH(OctOffSet+23)=10),OctOffSet+23,"")</f>
        <v>46314</v>
      </c>
      <c r="K12" s="174">
        <f>IF(AND(YEAR(OctOffSet+24)=BegCalYear,MONTH(OctOffSet+24)=10),OctOffSet+24,"")</f>
        <v>46315</v>
      </c>
      <c r="L12" s="174">
        <f>IF(AND(YEAR(OctOffSet+25)=BegCalYear,MONTH(OctOffSet+25)=10),OctOffSet+25,"")</f>
        <v>46316</v>
      </c>
      <c r="M12" s="174">
        <f>IF(AND(YEAR(OctOffSet+26)=BegCalYear,MONTH(OctOffSet+26)=10),OctOffSet+26,"")</f>
        <v>46317</v>
      </c>
      <c r="N12" s="173">
        <f>IF(AND(YEAR(OctOffSet+27)=BegCalYear,MONTH(OctOffSet+27)=10),OctOffSet+27,"")</f>
        <v>46318</v>
      </c>
      <c r="O12" s="25" t="s">
        <v>13</v>
      </c>
      <c r="P12" s="262"/>
      <c r="Q12" s="88">
        <f>IF(AND(YEAR(JanOffSet+23)=CalendarYear,MONTH(JanOffSet+23)=1),JanOffSet+23,"")</f>
        <v>46405</v>
      </c>
      <c r="R12" s="174">
        <f>IF(AND(YEAR(JanOffSet+24)=CalendarYear,MONTH(JanOffSet+24)=1),JanOffSet+24,"")</f>
        <v>46406</v>
      </c>
      <c r="S12" s="174">
        <f>IF(AND(YEAR(JanOffSet+25)=CalendarYear,MONTH(JanOffSet+25)=1),JanOffSet+25,"")</f>
        <v>46407</v>
      </c>
      <c r="T12" s="174">
        <f>IF(AND(YEAR(JanOffSet+26)=CalendarYear,MONTH(JanOffSet+26)=1),JanOffSet+26,"")</f>
        <v>46408</v>
      </c>
      <c r="U12" s="173">
        <f>IF(AND(YEAR(JanOffSet+27)=CalendarYear,MONTH(JanOffSet+27)=1),JanOffSet+27,"")</f>
        <v>46409</v>
      </c>
      <c r="V12" s="25" t="s">
        <v>13</v>
      </c>
      <c r="W12" s="240"/>
      <c r="X12" s="88">
        <f>IF(AND(YEAR(AprOffSet+23)=CalendarYear,MONTH(AprOffSet+23)=4),AprOffSet+23,"")</f>
        <v>46496</v>
      </c>
      <c r="Y12" s="174">
        <f>IF(AND(YEAR(AprOffSet+24)=CalendarYear,MONTH(AprOffSet+24)=4),AprOffSet+24,"")</f>
        <v>46497</v>
      </c>
      <c r="Z12" s="174">
        <f>IF(AND(YEAR(AprOffSet+25)=CalendarYear,MONTH(AprOffSet+25)=4),AprOffSet+25,"")</f>
        <v>46498</v>
      </c>
      <c r="AA12" s="174">
        <f>IF(AND(YEAR(AprOffSet+26)=CalendarYear,MONTH(AprOffSet+26)=4),AprOffSet+26,"")</f>
        <v>46499</v>
      </c>
      <c r="AB12" s="173">
        <f>IF(AND(YEAR(AprOffSet+27)=CalendarYear,MONTH(AprOffSet+27)=4),AprOffSet+27,"")</f>
        <v>46500</v>
      </c>
      <c r="AC12" s="25" t="s">
        <v>13</v>
      </c>
      <c r="AD12" s="11"/>
    </row>
    <row r="13" spans="1:34" ht="15" customHeight="1" x14ac:dyDescent="0.25">
      <c r="A13" s="18"/>
      <c r="B13" s="281"/>
      <c r="C13" s="167"/>
      <c r="D13" s="168"/>
      <c r="E13" s="168"/>
      <c r="F13" s="168"/>
      <c r="G13" s="169"/>
      <c r="H13" s="77" t="s">
        <v>14</v>
      </c>
      <c r="I13" s="256"/>
      <c r="J13" s="167"/>
      <c r="K13" s="168"/>
      <c r="L13" s="168"/>
      <c r="M13" s="168"/>
      <c r="N13" s="169"/>
      <c r="O13" s="77" t="s">
        <v>14</v>
      </c>
      <c r="P13" s="262"/>
      <c r="Q13" s="167"/>
      <c r="R13" s="168"/>
      <c r="S13" s="168"/>
      <c r="T13" s="168"/>
      <c r="U13" s="169"/>
      <c r="V13" s="77" t="s">
        <v>14</v>
      </c>
      <c r="W13" s="240"/>
      <c r="X13" s="167"/>
      <c r="Y13" s="168"/>
      <c r="Z13" s="168"/>
      <c r="AA13" s="168"/>
      <c r="AB13" s="169"/>
      <c r="AC13" s="77" t="s">
        <v>14</v>
      </c>
      <c r="AD13" s="11"/>
    </row>
    <row r="14" spans="1:34" ht="15.75" thickBot="1" x14ac:dyDescent="0.3">
      <c r="A14" s="18"/>
      <c r="B14" s="282"/>
      <c r="C14" s="89">
        <f>IF(AND(YEAR(July1OffSet+30)=BegCalYear,MONTH(July1OffSet+30)=7),July1OffSet+30,"")</f>
        <v>46230</v>
      </c>
      <c r="D14" s="175">
        <f>IF(AND(YEAR(July1OffSet+31)=BegCalYear,MONTH(July1OffSet+31)=7),July1OffSet+31,"")</f>
        <v>46231</v>
      </c>
      <c r="E14" s="175">
        <f>IF(AND(YEAR(July1OffSet+32)=BegCalYear,MONTH(July1OffSet+32)=7),July1OffSet+32,"")</f>
        <v>46232</v>
      </c>
      <c r="F14" s="175">
        <f>IF(AND(YEAR(July1OffSet+33)=BegCalYear,MONTH(July1OffSet+33)=7),July1OffSet+33,"")</f>
        <v>46233</v>
      </c>
      <c r="G14" s="176">
        <f>IF(AND(YEAR(July1OffSet+34)=BegCalYear,MONTH(July1OffSet+34)=7),July1OffSet+34,"")</f>
        <v>46234</v>
      </c>
      <c r="H14" s="78">
        <f>ROUNDDOWN(SUM(SUM(C5:G5,C7:G7,C9:G9,C11:G11,C13:G13)/8),1)</f>
        <v>0</v>
      </c>
      <c r="I14" s="257"/>
      <c r="J14" s="89">
        <f>IF(AND(YEAR(OctOffSet+30)=BegCalYear,MONTH(OctOffSet+30)=10),OctOffSet+30,"")</f>
        <v>46321</v>
      </c>
      <c r="K14" s="175">
        <f>IF(AND(YEAR(OctOffSet+31)=BegCalYear,MONTH(OctOffSet+31)=10),OctOffSet+31,"")</f>
        <v>46322</v>
      </c>
      <c r="L14" s="175">
        <f>IF(AND(YEAR(OctOffSet+32)=BegCalYear,MONTH(OctOffSet+32)=10),OctOffSet+32,"")</f>
        <v>46323</v>
      </c>
      <c r="M14" s="175">
        <f>IF(AND(YEAR(OctOffSet+33)=BegCalYear,MONTH(OctOffSet+33)=10),OctOffSet+33,"")</f>
        <v>46324</v>
      </c>
      <c r="N14" s="176">
        <f>IF(AND(YEAR(OctOffSet+34)=BegCalYear,MONTH(OctOffSet+34)=10),OctOffSet+34,"")</f>
        <v>46325</v>
      </c>
      <c r="O14" s="78">
        <f>ROUNDDOWN(SUM(SUM(J5:N5,J7:N7,J9:N9,J11:N11,J13:N13)/8),1)</f>
        <v>0</v>
      </c>
      <c r="P14" s="263"/>
      <c r="Q14" s="89">
        <f>IF(AND(YEAR(JanOffSet+30)=CalendarYear,MONTH(JanOffSet+30)=1),JanOffSet+30,"")</f>
        <v>46412</v>
      </c>
      <c r="R14" s="175">
        <f>IF(AND(YEAR(JanOffSet+31)=CalendarYear,MONTH(JanOffSet+31)=1),JanOffSet+31,"")</f>
        <v>46413</v>
      </c>
      <c r="S14" s="175">
        <f>IF(AND(YEAR(JanOffSet+32)=CalendarYear,MONTH(JanOffSet+32)=1),JanOffSet+32,"")</f>
        <v>46414</v>
      </c>
      <c r="T14" s="175">
        <f>IF(AND(YEAR(JanOffSet+33)=CalendarYear,MONTH(JanOffSet+33)=1),JanOffSet+33,"")</f>
        <v>46415</v>
      </c>
      <c r="U14" s="176">
        <f>IF(AND(YEAR(JanOffSet+34)=CalendarYear,MONTH(JanOffSet+34)=1),JanOffSet+34,"")</f>
        <v>46416</v>
      </c>
      <c r="V14" s="78">
        <f>ROUNDDOWN(SUM(SUM(Q5:U5,Q7:U7,Q9:U9,Q11:U11,Q13:U13)/8),1)</f>
        <v>0</v>
      </c>
      <c r="W14" s="252"/>
      <c r="X14" s="89">
        <f>IF(AND(YEAR(AprOffSet+30)=CalendarYear,MONTH(AprOffSet+30)=4),AprOffSet+30,"")</f>
        <v>46503</v>
      </c>
      <c r="Y14" s="175">
        <f>IF(AND(YEAR(AprOffSet+31)=CalendarYear,MONTH(AprOffSet+31)=4),AprOffSet+31,"")</f>
        <v>46504</v>
      </c>
      <c r="Z14" s="175">
        <f>IF(AND(YEAR(AprOffSet+32)=CalendarYear,MONTH(AprOffSet+32)=4),AprOffSet+32,"")</f>
        <v>46505</v>
      </c>
      <c r="AA14" s="175">
        <f>IF(AND(YEAR(AprOffSet+33)=CalendarYear,MONTH(AprOffSet+33)=4),AprOffSet+33,"")</f>
        <v>46506</v>
      </c>
      <c r="AB14" s="176">
        <f>IF(AND(YEAR(AprOffSet+34)=CalendarYear,MONTH(AprOffSet+34)=4),AprOffSet+34,"")</f>
        <v>46507</v>
      </c>
      <c r="AC14" s="78">
        <f>ROUNDDOWN(SUM(SUM(X5:AB5,X7:AB7,X11:AB11,X13:AB13,X9:AB9)/8),1)</f>
        <v>0</v>
      </c>
      <c r="AD14" s="11"/>
    </row>
    <row r="15" spans="1:34" ht="15.75" thickBot="1" x14ac:dyDescent="0.3">
      <c r="A15" s="18"/>
      <c r="B15" s="16"/>
      <c r="C15" s="25"/>
      <c r="D15" s="25"/>
      <c r="E15" s="25"/>
      <c r="F15" s="25"/>
      <c r="G15" s="25"/>
      <c r="H15" s="77"/>
      <c r="I15" s="24"/>
      <c r="J15" s="25"/>
      <c r="K15" s="25"/>
      <c r="L15" s="25"/>
      <c r="M15" s="25"/>
      <c r="N15" s="25"/>
      <c r="O15" s="77"/>
      <c r="P15" s="24"/>
      <c r="Q15" s="25"/>
      <c r="R15" s="25"/>
      <c r="S15" s="25"/>
      <c r="T15" s="25"/>
      <c r="U15" s="25"/>
      <c r="V15" s="77"/>
      <c r="W15" s="24"/>
      <c r="X15" s="25"/>
      <c r="Y15" s="25"/>
      <c r="Z15" s="25"/>
      <c r="AA15" s="25"/>
      <c r="AB15" s="25"/>
      <c r="AC15" s="77"/>
      <c r="AD15" s="11"/>
    </row>
    <row r="16" spans="1:34" ht="15" customHeight="1" x14ac:dyDescent="0.25">
      <c r="A16" s="18"/>
      <c r="B16" s="258" t="s">
        <v>15</v>
      </c>
      <c r="C16" s="164"/>
      <c r="D16" s="165"/>
      <c r="E16" s="165"/>
      <c r="F16" s="165"/>
      <c r="G16" s="166"/>
      <c r="H16" s="77"/>
      <c r="I16" s="239" t="s">
        <v>16</v>
      </c>
      <c r="J16" s="164"/>
      <c r="K16" s="165"/>
      <c r="L16" s="165"/>
      <c r="M16" s="165"/>
      <c r="N16" s="166"/>
      <c r="O16" s="77"/>
      <c r="P16" s="255" t="s">
        <v>17</v>
      </c>
      <c r="Q16" s="164"/>
      <c r="R16" s="165"/>
      <c r="S16" s="165"/>
      <c r="T16" s="165"/>
      <c r="U16" s="166"/>
      <c r="V16" s="77"/>
      <c r="W16" s="255" t="s">
        <v>18</v>
      </c>
      <c r="X16" s="164"/>
      <c r="Y16" s="165"/>
      <c r="Z16" s="165"/>
      <c r="AA16" s="165"/>
      <c r="AB16" s="166"/>
      <c r="AC16" s="77"/>
      <c r="AD16" s="11"/>
    </row>
    <row r="17" spans="1:30" x14ac:dyDescent="0.25">
      <c r="A17" s="18"/>
      <c r="B17" s="259"/>
      <c r="C17" s="88" t="str">
        <f>IF(AND(YEAR(AugOffSet+2)=BegCalYear,MONTH(AugOffSet+2)=8),AugOffSet+2,"")</f>
        <v/>
      </c>
      <c r="D17" s="174" t="str">
        <f>IF(AND(YEAR(AugOffSet+3)=BegCalYear,MONTH(AugOffSet+3)=8),AugOffSet+3,"")</f>
        <v/>
      </c>
      <c r="E17" s="174" t="str">
        <f>IF(AND(YEAR(AugOffSet+4)=BegCalYear,MONTH(AugOffSet+4)=8),AugOffSet+4,"")</f>
        <v/>
      </c>
      <c r="F17" s="174" t="str">
        <f>IF(AND(YEAR(AugOffSet+5)=BegCalYear,MONTH(AugOffSet+5)=8),AugOffSet+5,"")</f>
        <v/>
      </c>
      <c r="G17" s="173" t="str">
        <f>IF(AND(YEAR(AugOffSet+6)=BegCalYear,MONTH(AugOffSet+6)=8),AugOffSet+6,"")</f>
        <v/>
      </c>
      <c r="H17" s="77"/>
      <c r="I17" s="240"/>
      <c r="J17" s="88"/>
      <c r="K17" s="174">
        <f>IF(AND(YEAR(NovOffSet+3)=BegCalYear,MONTH(NovOffSet+3)=11),NovOffSet+3,"")</f>
        <v>46329</v>
      </c>
      <c r="L17" s="174">
        <f>IF(AND(YEAR(NovOffSet+4)=BegCalYear,MONTH(NovOffSet+4)=11),NovOffSet+4,"")</f>
        <v>46330</v>
      </c>
      <c r="M17" s="174">
        <f>IF(AND(YEAR(NovOffSet+5)=BegCalYear,MONTH(NovOffSet+5)=11),NovOffSet+5,"")</f>
        <v>46331</v>
      </c>
      <c r="N17" s="173">
        <f>IF(AND(YEAR(NovOffSet+6)=BegCalYear,MONTH(NovOffSet+6)=11),NovOffSet+6,"")</f>
        <v>46332</v>
      </c>
      <c r="O17" s="77"/>
      <c r="P17" s="256"/>
      <c r="Q17" s="88">
        <f>IF(AND(YEAR(FebOffSet+2)=CalendarYear,MONTH(FebOffSet+2)=2),FebOffSet+2,"")</f>
        <v>46419</v>
      </c>
      <c r="R17" s="174">
        <f>IF(AND(YEAR(FebOffSet+3)=CalendarYear,MONTH(FebOffSet+3)=2),FebOffSet+3,"")</f>
        <v>46420</v>
      </c>
      <c r="S17" s="174">
        <f>IF(AND(YEAR(FebOffSet+4)=CalendarYear,MONTH(FebOffSet+4)=2),FebOffSet+4,"")</f>
        <v>46421</v>
      </c>
      <c r="T17" s="174">
        <f>IF(AND(YEAR(FebOffSet+5)=CalendarYear,MONTH(FebOffSet+5)=2),FebOffSet+5,"")</f>
        <v>46422</v>
      </c>
      <c r="U17" s="173">
        <f>IF(AND(YEAR(FebOffSet+6)=CalendarYear,MONTH(FebOffSet+6)=2),FebOffSet+6,"")</f>
        <v>46423</v>
      </c>
      <c r="V17" s="77"/>
      <c r="W17" s="256"/>
      <c r="X17" s="88" t="str">
        <f>IF(AND(YEAR(MayOffSet+2)=CalendarYear,MONTH(MayOffSet+2)=5),MayOffSet+2,"")</f>
        <v/>
      </c>
      <c r="Y17" s="174" t="str">
        <f>IF(AND(YEAR(MayOffSet+3)=CalendarYear,MONTH(MayOffSet+3)=5),MayOffSet+3,"")</f>
        <v/>
      </c>
      <c r="Z17" s="174" t="str">
        <f>IF(AND(YEAR(MayOffSet+4)=CalendarYear,MONTH(MayOffSet+4)=5),MayOffSet+4,"")</f>
        <v/>
      </c>
      <c r="AA17" s="174" t="str">
        <f>IF(AND(YEAR(MayOffSet+5)=CalendarYear,MONTH(MayOffSet+5)=5),MayOffSet+5,"")</f>
        <v/>
      </c>
      <c r="AB17" s="173" t="str">
        <f>IF(AND(YEAR(MayOffSet+6)=CalendarYear,MONTH(MayOffSet+6)=5),MayOffSet+6,"")</f>
        <v/>
      </c>
      <c r="AC17" s="77"/>
      <c r="AD17" s="11"/>
    </row>
    <row r="18" spans="1:30" x14ac:dyDescent="0.25">
      <c r="A18" s="18"/>
      <c r="B18" s="259"/>
      <c r="C18" s="167"/>
      <c r="D18" s="168"/>
      <c r="E18" s="168"/>
      <c r="F18" s="168"/>
      <c r="G18" s="169"/>
      <c r="H18" s="77"/>
      <c r="I18" s="240"/>
      <c r="J18" s="167"/>
      <c r="K18" s="168"/>
      <c r="L18" s="168"/>
      <c r="M18" s="168"/>
      <c r="N18" s="169"/>
      <c r="O18" s="77"/>
      <c r="P18" s="256"/>
      <c r="Q18" s="167"/>
      <c r="R18" s="168"/>
      <c r="S18" s="168"/>
      <c r="T18" s="168"/>
      <c r="U18" s="169"/>
      <c r="V18" s="77"/>
      <c r="W18" s="256"/>
      <c r="X18" s="167"/>
      <c r="Y18" s="168"/>
      <c r="Z18" s="168"/>
      <c r="AA18" s="168"/>
      <c r="AB18" s="169"/>
      <c r="AC18" s="77"/>
      <c r="AD18" s="11"/>
    </row>
    <row r="19" spans="1:30" x14ac:dyDescent="0.25">
      <c r="A19" s="18"/>
      <c r="B19" s="259"/>
      <c r="C19" s="88">
        <f>IF(AND(YEAR(AugOffSet+9)=BegCalYear,MONTH(AugOffSet+9)=8),AugOffSet+9,"")</f>
        <v>46237</v>
      </c>
      <c r="D19" s="174">
        <f>IF(AND(YEAR(AugOffSet+10)=BegCalYear,MONTH(AugOffSet+10)=8),AugOffSet+10,"")</f>
        <v>46238</v>
      </c>
      <c r="E19" s="174">
        <f>IF(AND(YEAR(AugOffSet+11)=BegCalYear,MONTH(AugOffSet+11)=8),AugOffSet+11,"")</f>
        <v>46239</v>
      </c>
      <c r="F19" s="174">
        <f>IF(AND(YEAR(AugOffSet+12)=BegCalYear,MONTH(AugOffSet+12)=8),AugOffSet+12,"")</f>
        <v>46240</v>
      </c>
      <c r="G19" s="173">
        <f>IF(AND(YEAR(AugOffSet+13)=BegCalYear,MONTH(AugOffSet+13)=8),AugOffSet+13,"")</f>
        <v>46241</v>
      </c>
      <c r="H19" s="77"/>
      <c r="I19" s="240"/>
      <c r="J19" s="88">
        <f>IF(AND(YEAR(NovOffSet+9)=BegCalYear,MONTH(NovOffSet+9)=11),NovOffSet+9,"")</f>
        <v>46335</v>
      </c>
      <c r="K19" s="174">
        <f>IF(AND(YEAR(NovOffSet+10)=BegCalYear,MONTH(NovOffSet+10)=11),NovOffSet+10,"")</f>
        <v>46336</v>
      </c>
      <c r="L19" s="174">
        <f>IF(AND(YEAR(NovOffSet+11)=BegCalYear,MONTH(NovOffSet+11)=11),NovOffSet+11,"")</f>
        <v>46337</v>
      </c>
      <c r="M19" s="174">
        <f>IF(AND(YEAR(NovOffSet+12)=BegCalYear,MONTH(NovOffSet+12)=11),NovOffSet+12,"")</f>
        <v>46338</v>
      </c>
      <c r="N19" s="173">
        <f>IF(AND(YEAR(NovOffSet+13)=BegCalYear,MONTH(NovOffSet+13)=11),NovOffSet+13,"")</f>
        <v>46339</v>
      </c>
      <c r="O19" s="77"/>
      <c r="P19" s="256"/>
      <c r="Q19" s="88">
        <f>IF(AND(YEAR(FebOffSet+9)=CalendarYear,MONTH(FebOffSet+9)=2),FebOffSet+9,"")</f>
        <v>46426</v>
      </c>
      <c r="R19" s="174">
        <f>IF(AND(YEAR(FebOffSet+10)=CalendarYear,MONTH(FebOffSet+10)=2),FebOffSet+10,"")</f>
        <v>46427</v>
      </c>
      <c r="S19" s="174">
        <f>IF(AND(YEAR(FebOffSet+11)=CalendarYear,MONTH(FebOffSet+11)=2),FebOffSet+11,"")</f>
        <v>46428</v>
      </c>
      <c r="T19" s="174">
        <f>IF(AND(YEAR(FebOffSet+12)=CalendarYear,MONTH(FebOffSet+12)=2),FebOffSet+12,"")</f>
        <v>46429</v>
      </c>
      <c r="U19" s="173">
        <f>IF(AND(YEAR(FebOffSet+13)=CalendarYear,MONTH(FebOffSet+13)=2),FebOffSet+13,"")</f>
        <v>46430</v>
      </c>
      <c r="V19" s="77"/>
      <c r="W19" s="256"/>
      <c r="X19" s="88">
        <f>IF(AND(YEAR(MayOffSet+9)=CalendarYear,MONTH(MayOffSet+9)=5),MayOffSet+9,"")</f>
        <v>46510</v>
      </c>
      <c r="Y19" s="174">
        <f>IF(AND(YEAR(MayOffSet+10)=CalendarYear,MONTH(MayOffSet+10)=5),MayOffSet+10,"")</f>
        <v>46511</v>
      </c>
      <c r="Z19" s="174">
        <f>IF(AND(YEAR(MayOffSet+11)=CalendarYear,MONTH(MayOffSet+11)=5),MayOffSet+11,"")</f>
        <v>46512</v>
      </c>
      <c r="AA19" s="174">
        <f>IF(AND(YEAR(MayOffSet+12)=CalendarYear,MONTH(MayOffSet+12)=5),MayOffSet+12,"")</f>
        <v>46513</v>
      </c>
      <c r="AB19" s="173">
        <f>IF(AND(YEAR(MayOffSet+13)=CalendarYear,MONTH(MayOffSet+13)=5),MayOffSet+13,"")</f>
        <v>46514</v>
      </c>
      <c r="AC19" s="77"/>
      <c r="AD19" s="11"/>
    </row>
    <row r="20" spans="1:30" x14ac:dyDescent="0.25">
      <c r="A20" s="18"/>
      <c r="B20" s="259"/>
      <c r="C20" s="167"/>
      <c r="D20" s="168"/>
      <c r="E20" s="168"/>
      <c r="F20" s="168"/>
      <c r="G20" s="169"/>
      <c r="H20" s="77"/>
      <c r="I20" s="240"/>
      <c r="J20" s="167"/>
      <c r="K20" s="168"/>
      <c r="L20" s="168"/>
      <c r="M20" s="168"/>
      <c r="N20" s="169"/>
      <c r="O20" s="77"/>
      <c r="P20" s="256"/>
      <c r="Q20" s="167"/>
      <c r="R20" s="168"/>
      <c r="S20" s="168"/>
      <c r="T20" s="168"/>
      <c r="U20" s="169"/>
      <c r="V20" s="77"/>
      <c r="W20" s="256"/>
      <c r="X20" s="167"/>
      <c r="Y20" s="168"/>
      <c r="Z20" s="168"/>
      <c r="AA20" s="168"/>
      <c r="AB20" s="169"/>
      <c r="AC20" s="77"/>
      <c r="AD20" s="11"/>
    </row>
    <row r="21" spans="1:30" x14ac:dyDescent="0.25">
      <c r="A21" s="18"/>
      <c r="B21" s="259"/>
      <c r="C21" s="88">
        <f>IF(AND(YEAR(AugOffSet+16)=BegCalYear,MONTH(AugOffSet+16)=8),AugOffSet+16,"")</f>
        <v>46244</v>
      </c>
      <c r="D21" s="174">
        <f>IF(AND(YEAR(AugOffSet+17)=BegCalYear,MONTH(AugOffSet+17)=8),AugOffSet+17,"")</f>
        <v>46245</v>
      </c>
      <c r="E21" s="174">
        <f>IF(AND(YEAR(AugOffSet+18)=BegCalYear,MONTH(AugOffSet+18)=8),AugOffSet+18,"")</f>
        <v>46246</v>
      </c>
      <c r="F21" s="174">
        <f>IF(AND(YEAR(AugOffSet+19)=BegCalYear,MONTH(AugOffSet+19)=8),AugOffSet+19,"")</f>
        <v>46247</v>
      </c>
      <c r="G21" s="173">
        <f>IF(AND(YEAR(AugOffSet+20)=BegCalYear,MONTH(AugOffSet+20)=8),AugOffSet+20,"")</f>
        <v>46248</v>
      </c>
      <c r="H21" s="77"/>
      <c r="I21" s="240"/>
      <c r="J21" s="88">
        <f>IF(AND(YEAR(NovOffSet+16)=BegCalYear,MONTH(NovOffSet+16)=11),NovOffSet+16,"")</f>
        <v>46342</v>
      </c>
      <c r="K21" s="174">
        <f>IF(AND(YEAR(NovOffSet+17)=BegCalYear,MONTH(NovOffSet+17)=11),NovOffSet+17,"")</f>
        <v>46343</v>
      </c>
      <c r="L21" s="174">
        <f>IF(AND(YEAR(NovOffSet+18)=BegCalYear,MONTH(NovOffSet+18)=11),NovOffSet+18,"")</f>
        <v>46344</v>
      </c>
      <c r="M21" s="174">
        <f>IF(AND(YEAR(NovOffSet+19)=BegCalYear,MONTH(NovOffSet+19)=11),NovOffSet+19,"")</f>
        <v>46345</v>
      </c>
      <c r="N21" s="173">
        <f>IF(AND(YEAR(NovOffSet+20)=BegCalYear,MONTH(NovOffSet+20)=11),NovOffSet+20,"")</f>
        <v>46346</v>
      </c>
      <c r="O21" s="77"/>
      <c r="P21" s="256"/>
      <c r="Q21" s="88">
        <f>IF(AND(YEAR(FebOffSet+16)=CalendarYear,MONTH(FebOffSet+16)=2),FebOffSet+16,"")</f>
        <v>46433</v>
      </c>
      <c r="R21" s="174">
        <f>IF(AND(YEAR(FebOffSet+17)=CalendarYear,MONTH(FebOffSet+17)=2),FebOffSet+17,"")</f>
        <v>46434</v>
      </c>
      <c r="S21" s="174">
        <f>IF(AND(YEAR(FebOffSet+18)=CalendarYear,MONTH(FebOffSet+18)=2),FebOffSet+18,"")</f>
        <v>46435</v>
      </c>
      <c r="T21" s="174">
        <f>IF(AND(YEAR(FebOffSet+19)=CalendarYear,MONTH(FebOffSet+19)=2),FebOffSet+19,"")</f>
        <v>46436</v>
      </c>
      <c r="U21" s="173">
        <f>IF(AND(YEAR(FebOffSet+20)=CalendarYear,MONTH(FebOffSet+20)=2),FebOffSet+20,"")</f>
        <v>46437</v>
      </c>
      <c r="V21" s="77"/>
      <c r="W21" s="256"/>
      <c r="X21" s="88">
        <f>IF(AND(YEAR(MayOffSet+16)=CalendarYear,MONTH(MayOffSet+16)=5),MayOffSet+16,"")</f>
        <v>46517</v>
      </c>
      <c r="Y21" s="174">
        <f>IF(AND(YEAR(MayOffSet+17)=CalendarYear,MONTH(MayOffSet+17)=5),MayOffSet+17,"")</f>
        <v>46518</v>
      </c>
      <c r="Z21" s="174">
        <f>IF(AND(YEAR(MayOffSet+18)=CalendarYear,MONTH(MayOffSet+18)=5),MayOffSet+18,"")</f>
        <v>46519</v>
      </c>
      <c r="AA21" s="174">
        <f>IF(AND(YEAR(MayOffSet+19)=CalendarYear,MONTH(MayOffSet+19)=5),MayOffSet+19,"")</f>
        <v>46520</v>
      </c>
      <c r="AB21" s="173">
        <f>IF(AND(YEAR(MayOffSet+20)=CalendarYear,MONTH(MayOffSet+20)=5),MayOffSet+20,"")</f>
        <v>46521</v>
      </c>
      <c r="AC21" s="77"/>
      <c r="AD21" s="11"/>
    </row>
    <row r="22" spans="1:30" ht="15" customHeight="1" x14ac:dyDescent="0.25">
      <c r="A22" s="16"/>
      <c r="B22" s="259"/>
      <c r="C22" s="167"/>
      <c r="D22" s="168"/>
      <c r="E22" s="168"/>
      <c r="F22" s="168"/>
      <c r="G22" s="169"/>
      <c r="H22" s="77" t="s">
        <v>19</v>
      </c>
      <c r="I22" s="240"/>
      <c r="J22" s="167"/>
      <c r="K22" s="168"/>
      <c r="L22" s="168"/>
      <c r="M22" s="168"/>
      <c r="N22" s="169"/>
      <c r="O22" s="77" t="s">
        <v>20</v>
      </c>
      <c r="P22" s="256"/>
      <c r="Q22" s="167"/>
      <c r="R22" s="168"/>
      <c r="S22" s="168"/>
      <c r="T22" s="168"/>
      <c r="U22" s="169"/>
      <c r="V22" s="77" t="s">
        <v>21</v>
      </c>
      <c r="W22" s="256"/>
      <c r="X22" s="167"/>
      <c r="Y22" s="168"/>
      <c r="Z22" s="168"/>
      <c r="AA22" s="168"/>
      <c r="AB22" s="169"/>
      <c r="AC22" s="77" t="s">
        <v>22</v>
      </c>
      <c r="AD22" s="11"/>
    </row>
    <row r="23" spans="1:30" ht="15" customHeight="1" x14ac:dyDescent="0.25">
      <c r="A23" s="16"/>
      <c r="B23" s="259"/>
      <c r="C23" s="88">
        <f>IF(AND(YEAR(AugOffSet+23)=BegCalYear,MONTH(AugOffSet+23)=8),AugOffSet+23,"")</f>
        <v>46251</v>
      </c>
      <c r="D23" s="174">
        <f>IF(AND(YEAR(AugOffSet+24)=BegCalYear,MONTH(AugOffSet+24)=8),AugOffSet+24,"")</f>
        <v>46252</v>
      </c>
      <c r="E23" s="174">
        <f>IF(AND(YEAR(AugOffSet+25)=BegCalYear,MONTH(AugOffSet+25)=8),AugOffSet+25,"")</f>
        <v>46253</v>
      </c>
      <c r="F23" s="174">
        <f>IF(AND(YEAR(AugOffSet+26)=BegCalYear,MONTH(AugOffSet+26)=8),AugOffSet+26,"")</f>
        <v>46254</v>
      </c>
      <c r="G23" s="173">
        <f>IF(AND(YEAR(AugOffSet+27)=BegCalYear,MONTH(AugOffSet+27)=8),AugOffSet+27,"")</f>
        <v>46255</v>
      </c>
      <c r="H23" s="25" t="s">
        <v>13</v>
      </c>
      <c r="I23" s="240"/>
      <c r="J23" s="88">
        <f>IF(AND(YEAR(NovOffSet+23)=BegCalYear,MONTH(NovOffSet+23)=11),NovOffSet+23,"")</f>
        <v>46349</v>
      </c>
      <c r="K23" s="174">
        <f>IF(AND(YEAR(NovOffSet+24)=BegCalYear,MONTH(NovOffSet+24)=11),NovOffSet+24,"")</f>
        <v>46350</v>
      </c>
      <c r="L23" s="174">
        <f>IF(AND(YEAR(NovOffSet+25)=BegCalYear,MONTH(NovOffSet+25)=11),NovOffSet+25,"")</f>
        <v>46351</v>
      </c>
      <c r="M23" s="174">
        <f>IF(AND(YEAR(NovOffSet+26)=BegCalYear,MONTH(NovOffSet+26)=11),NovOffSet+26,"")</f>
        <v>46352</v>
      </c>
      <c r="N23" s="173">
        <f>IF(AND(YEAR(NovOffSet+27)=BegCalYear,MONTH(NovOffSet+27)=11),NovOffSet+27,"")</f>
        <v>46353</v>
      </c>
      <c r="O23" s="25" t="s">
        <v>13</v>
      </c>
      <c r="P23" s="256"/>
      <c r="Q23" s="88">
        <f>IF(AND(YEAR(FebOffSet+23)=CalendarYear,MONTH(FebOffSet+23)=2),FebOffSet+23,"")</f>
        <v>46440</v>
      </c>
      <c r="R23" s="174">
        <f>IF(AND(YEAR(FebOffSet+24)=CalendarYear,MONTH(FebOffSet+24)=2),FebOffSet+24,"")</f>
        <v>46441</v>
      </c>
      <c r="S23" s="174">
        <f>IF(AND(YEAR(FebOffSet+25)=CalendarYear,MONTH(FebOffSet+25)=2),FebOffSet+25,"")</f>
        <v>46442</v>
      </c>
      <c r="T23" s="174">
        <f>IF(AND(YEAR(FebOffSet+26)=CalendarYear,MONTH(FebOffSet+26)=2),FebOffSet+26,"")</f>
        <v>46443</v>
      </c>
      <c r="U23" s="173">
        <f>IF(AND(YEAR(FebOffSet+27)=CalendarYear,MONTH(FebOffSet+27)=2),FebOffSet+27,"")</f>
        <v>46444</v>
      </c>
      <c r="V23" s="25" t="s">
        <v>13</v>
      </c>
      <c r="W23" s="256"/>
      <c r="X23" s="88">
        <f>IF(AND(YEAR(MayOffSet+23)=CalendarYear,MONTH(MayOffSet+23)=5),MayOffSet+23,"")</f>
        <v>46524</v>
      </c>
      <c r="Y23" s="174">
        <f>IF(AND(YEAR(MayOffSet+24)=CalendarYear,MONTH(MayOffSet+24)=5),MayOffSet+24,"")</f>
        <v>46525</v>
      </c>
      <c r="Z23" s="174">
        <f>IF(AND(YEAR(MayOffSet+25)=CalendarYear,MONTH(MayOffSet+25)=5),MayOffSet+25,"")</f>
        <v>46526</v>
      </c>
      <c r="AA23" s="174">
        <f>IF(AND(YEAR(MayOffSet+26)=CalendarYear,MONTH(MayOffSet+26)=5),MayOffSet+26,"")</f>
        <v>46527</v>
      </c>
      <c r="AB23" s="173">
        <f>IF(AND(YEAR(MayOffSet+27)=CalendarYear,MONTH(MayOffSet+27)=5),MayOffSet+27,"")</f>
        <v>46528</v>
      </c>
      <c r="AC23" s="25" t="s">
        <v>13</v>
      </c>
      <c r="AD23" s="11"/>
    </row>
    <row r="24" spans="1:30" ht="15" customHeight="1" x14ac:dyDescent="0.25">
      <c r="A24" s="16"/>
      <c r="B24" s="259"/>
      <c r="C24" s="167"/>
      <c r="D24" s="168"/>
      <c r="E24" s="168"/>
      <c r="F24" s="168"/>
      <c r="G24" s="169"/>
      <c r="H24" s="77" t="s">
        <v>14</v>
      </c>
      <c r="I24" s="240"/>
      <c r="J24" s="167"/>
      <c r="K24" s="168"/>
      <c r="L24" s="168"/>
      <c r="M24" s="168"/>
      <c r="N24" s="169"/>
      <c r="O24" s="77" t="s">
        <v>14</v>
      </c>
      <c r="P24" s="256"/>
      <c r="Q24" s="167"/>
      <c r="R24" s="168"/>
      <c r="S24" s="168"/>
      <c r="T24" s="168"/>
      <c r="U24" s="169"/>
      <c r="V24" s="77" t="s">
        <v>14</v>
      </c>
      <c r="W24" s="256"/>
      <c r="X24" s="167"/>
      <c r="Y24" s="168"/>
      <c r="Z24" s="168"/>
      <c r="AA24" s="168"/>
      <c r="AB24" s="169"/>
      <c r="AC24" s="77" t="s">
        <v>14</v>
      </c>
      <c r="AD24" s="11"/>
    </row>
    <row r="25" spans="1:30" ht="15.75" thickBot="1" x14ac:dyDescent="0.3">
      <c r="A25" s="16"/>
      <c r="B25" s="260"/>
      <c r="C25" s="89">
        <f>IF(AND(YEAR(AugOffSet+30)=BegCalYear,MONTH(AugOffSet+30)=8),AugOffSet+30,"")</f>
        <v>46258</v>
      </c>
      <c r="D25" s="175">
        <f>IF(AND(YEAR(AugOffSet+31)=BegCalYear,MONTH(AugOffSet+31)=8),AugOffSet+31,"")</f>
        <v>46259</v>
      </c>
      <c r="E25" s="175">
        <f>IF(AND(YEAR(AugOffSet+32)=BegCalYear,MONTH(AugOffSet+32)=8),AugOffSet+32,"")</f>
        <v>46260</v>
      </c>
      <c r="F25" s="175">
        <f>IF(AND(YEAR(AugOffSet+33)=BegCalYear,MONTH(AugOffSet+33)=8),AugOffSet+33,"")</f>
        <v>46261</v>
      </c>
      <c r="G25" s="176">
        <f>IF(AND(YEAR(AugOffSet+34)=BegCalYear,MONTH(AugOffSet+34)=8),AugOffSet+34,"")</f>
        <v>46262</v>
      </c>
      <c r="H25" s="78">
        <f>ROUNDDOWN(SUM(SUM(C16:G16,C18:G18,C20:G20,C22:G22,C24:G24)/8),1)</f>
        <v>0</v>
      </c>
      <c r="I25" s="252"/>
      <c r="J25" s="89">
        <f>IF(AND(YEAR(NovOffSet+30)=BegCalYear,MONTH(NovOffSet+30)=11),NovOffSet+30,"")</f>
        <v>46356</v>
      </c>
      <c r="K25" s="175" t="str">
        <f>IF(AND(YEAR(NovOffSet+31)=BegCalYear,MONTH(NovOffSet+31)=11),NovOffSet+31,"")</f>
        <v/>
      </c>
      <c r="L25" s="175" t="str">
        <f>IF(AND(YEAR(NovOffSet+32)=BegCalYear,MONTH(NovOffSet+32)=11),NovOffSet+32,"")</f>
        <v/>
      </c>
      <c r="M25" s="175" t="str">
        <f>IF(AND(YEAR(NovOffSet+33)=BegCalYear,MONTH(NovOffSet+33)=11),NovOffSet+33,"")</f>
        <v/>
      </c>
      <c r="N25" s="176" t="str">
        <f>IF(AND(YEAR(NovOffSet+34)=BegCalYear,MONTH(NovOffSet+34)=11),NovOffSet+34,"")</f>
        <v/>
      </c>
      <c r="O25" s="78">
        <f>ROUNDDOWN(SUM(SUM(J16:N16,J18:N18,J20:N20,J22:N22,J24:N24)/8),1)</f>
        <v>0</v>
      </c>
      <c r="P25" s="257"/>
      <c r="Q25" s="89" t="str">
        <f>IF(AND(YEAR(FebOffSet+30)=CalendarYear,MONTH(FebOffSet+30)=2),FebOffSet+30,"")</f>
        <v/>
      </c>
      <c r="R25" s="175" t="str">
        <f>IF(AND(YEAR(FebOffSet+31)=CalendarYear,MONTH(FebOffSet+31)=2),FebOffSet+31,"")</f>
        <v/>
      </c>
      <c r="S25" s="175" t="str">
        <f>IF(AND(YEAR(FebOffSet+32)=CalendarYear,MONTH(FebOffSet+32)=2),FebOffSet+32,"")</f>
        <v/>
      </c>
      <c r="T25" s="175" t="str">
        <f>IF(AND(YEAR(FebOffSet+33)=CalendarYear,MONTH(FebOffSet+33)=2),FebOffSet+33,"")</f>
        <v/>
      </c>
      <c r="U25" s="176" t="str">
        <f>IF(AND(YEAR(FebOffSet+34)=CalendarYear,MONTH(FebOffSet+34)=2),FebOffSet+34,"")</f>
        <v/>
      </c>
      <c r="V25" s="78">
        <f>ROUNDDOWN(SUM(SUM(Q18:U18,Q16:U16,Q20:U20,Q22:U22,Q24:U24)/8),1)</f>
        <v>0</v>
      </c>
      <c r="W25" s="257"/>
      <c r="X25" s="89">
        <f>IF(AND(YEAR(MayOffSet+30)=CalendarYear,MONTH(MayOffSet+30)=5),MayOffSet+30,"")</f>
        <v>46531</v>
      </c>
      <c r="Y25" s="175">
        <f>IF(AND(YEAR(MayOffSet+31)=CalendarYear,MONTH(MayOffSet+31)=5),MayOffSet+31,"")</f>
        <v>46532</v>
      </c>
      <c r="Z25" s="175">
        <f>IF(AND(YEAR(MayOffSet+32)=CalendarYear,MONTH(MayOffSet+32)=5),MayOffSet+32,"")</f>
        <v>46533</v>
      </c>
      <c r="AA25" s="175">
        <f>IF(AND(YEAR(MayOffSet+33)=CalendarYear,MONTH(MayOffSet+33)=5),MayOffSet+33,"")</f>
        <v>46534</v>
      </c>
      <c r="AB25" s="176">
        <f>IF(AND(YEAR(MayOffSet+34)=CalendarYear,MONTH(MayOffSet+34)=5),MayOffSet+34,"")</f>
        <v>46535</v>
      </c>
      <c r="AC25" s="78">
        <f>ROUNDDOWN(SUM(SUM(X16:AB16,X18:AB18,X20:AB20,X22:AB22,X24:AB24)/8),1)</f>
        <v>0</v>
      </c>
      <c r="AD25" s="11"/>
    </row>
    <row r="26" spans="1:30" ht="15.75" thickBot="1" x14ac:dyDescent="0.3">
      <c r="A26" s="16"/>
      <c r="B26" s="16"/>
      <c r="C26" s="25"/>
      <c r="D26" s="25"/>
      <c r="E26" s="25"/>
      <c r="F26" s="25"/>
      <c r="G26" s="25"/>
      <c r="H26" s="77"/>
      <c r="I26" s="24"/>
      <c r="J26" s="25"/>
      <c r="K26" s="25"/>
      <c r="L26" s="25"/>
      <c r="M26" s="25"/>
      <c r="N26" s="25"/>
      <c r="O26" s="77"/>
      <c r="P26" s="24"/>
      <c r="Q26" s="25"/>
      <c r="R26" s="25"/>
      <c r="S26" s="25"/>
      <c r="T26" s="25"/>
      <c r="U26" s="25"/>
      <c r="V26" s="77"/>
      <c r="W26" s="24"/>
      <c r="X26" s="25"/>
      <c r="Y26" s="25"/>
      <c r="Z26" s="25"/>
      <c r="AA26" s="25"/>
      <c r="AB26" s="25"/>
      <c r="AC26" s="77"/>
      <c r="AD26" s="11"/>
    </row>
    <row r="27" spans="1:30" ht="15" customHeight="1" x14ac:dyDescent="0.25">
      <c r="A27" s="16"/>
      <c r="B27" s="258" t="s">
        <v>23</v>
      </c>
      <c r="C27" s="164"/>
      <c r="D27" s="165"/>
      <c r="E27" s="165"/>
      <c r="F27" s="165"/>
      <c r="G27" s="166"/>
      <c r="H27" s="77"/>
      <c r="I27" s="239" t="s">
        <v>24</v>
      </c>
      <c r="J27" s="164"/>
      <c r="K27" s="165"/>
      <c r="L27" s="165"/>
      <c r="M27" s="165"/>
      <c r="N27" s="166"/>
      <c r="O27" s="77"/>
      <c r="P27" s="261" t="s">
        <v>25</v>
      </c>
      <c r="Q27" s="164"/>
      <c r="R27" s="165"/>
      <c r="S27" s="165"/>
      <c r="T27" s="165"/>
      <c r="U27" s="166"/>
      <c r="V27" s="77"/>
      <c r="W27" s="239" t="s">
        <v>80</v>
      </c>
      <c r="X27" s="164"/>
      <c r="Y27" s="165"/>
      <c r="Z27" s="165"/>
      <c r="AA27" s="165"/>
      <c r="AB27" s="166"/>
      <c r="AC27" s="77"/>
      <c r="AD27" s="11"/>
    </row>
    <row r="28" spans="1:30" x14ac:dyDescent="0.25">
      <c r="A28" s="16"/>
      <c r="B28" s="259"/>
      <c r="C28" s="88">
        <f>IF(AND(YEAR(AugOffSet+37)=BegCalYear,MONTH(AugOffSet+37)=8),AugOffSet+37,"")</f>
        <v>46265</v>
      </c>
      <c r="D28" s="174">
        <f>IF(AND(YEAR(SeptOffSet+3)=BegCalYear,MONTH(SeptOffSet+3)=9),SeptOffSet+3,"")</f>
        <v>46266</v>
      </c>
      <c r="E28" s="174">
        <f>IF(AND(YEAR(SeptOffSet+4)=BegCalYear,MONTH(SeptOffSet+4)=9),SeptOffSet+4,"")</f>
        <v>46267</v>
      </c>
      <c r="F28" s="174">
        <f>IF(AND(YEAR(SeptOffSet+5)=BegCalYear,MONTH(SeptOffSet+5)=9),SeptOffSet+5,"")</f>
        <v>46268</v>
      </c>
      <c r="G28" s="173">
        <f>IF(AND(YEAR(SeptOffSet+6)=BegCalYear,MONTH(SeptOffSet+6)=9),SeptOffSet+6,"")</f>
        <v>46269</v>
      </c>
      <c r="H28" s="77"/>
      <c r="I28" s="240"/>
      <c r="J28" s="88" t="str">
        <f>IF(AND(YEAR(DecOffSet+2)=BegCalYear,MONTH(DecOffSet+2)=12),DecOffSet+2,"")</f>
        <v/>
      </c>
      <c r="K28" s="174">
        <f>IF(AND(YEAR(DecOffSet+3)=BegCalYear,MONTH(DecOffSet+3)=12),DecOffSet+3,"")</f>
        <v>46357</v>
      </c>
      <c r="L28" s="174">
        <f>IF(AND(YEAR(DecOffSet+4)=BegCalYear,MONTH(DecOffSet+4)=12),DecOffSet+4,"")</f>
        <v>46358</v>
      </c>
      <c r="M28" s="174">
        <f>IF(AND(YEAR(DecOffSet+5)=BegCalYear,MONTH(DecOffSet+5)=12),DecOffSet+5,"")</f>
        <v>46359</v>
      </c>
      <c r="N28" s="173">
        <f>IF(AND(YEAR(DecOffSet+6)=BegCalYear,MONTH(DecOffSet+6)=12),DecOffSet+6,"")</f>
        <v>46360</v>
      </c>
      <c r="O28" s="77"/>
      <c r="P28" s="262"/>
      <c r="Q28" s="88">
        <f>IF(AND(YEAR(MarOffSet+2)=CalendarYear,MONTH(MarOffSet+2)=3),MarOffSet+2,"")</f>
        <v>46447</v>
      </c>
      <c r="R28" s="174">
        <f>IF(AND(YEAR(MarOffSet+3)=CalendarYear,MONTH(MarOffSet+3)=3),MarOffSet+3,"")</f>
        <v>46448</v>
      </c>
      <c r="S28" s="174">
        <f>IF(AND(YEAR(MarOffSet+4)=CalendarYear,MONTH(MarOffSet+4)=3),MarOffSet+4,"")</f>
        <v>46449</v>
      </c>
      <c r="T28" s="174">
        <f>IF(AND(YEAR(MarOffSet+5)=CalendarYear,MONTH(MarOffSet+5)=3),MarOffSet+5,"")</f>
        <v>46450</v>
      </c>
      <c r="U28" s="173">
        <f>IF(AND(YEAR(MarOffSet+6)=CalendarYear,MONTH(MarOffSet+6)=3),MarOffSet+6,"")</f>
        <v>46451</v>
      </c>
      <c r="V28" s="77"/>
      <c r="W28" s="240"/>
      <c r="X28" s="88" t="str">
        <f>IF(AND(YEAR(JuneOffSet+2)=CalendarYear,MONTH(JuneOffSet+2)=6),JuneOffSet+2,"")</f>
        <v/>
      </c>
      <c r="Y28" s="174">
        <f>IF(AND(YEAR(JuneOffSet+3)=CalendarYear,MONTH(JuneOffSet+3)=6),JuneOffSet+3,"")</f>
        <v>46539</v>
      </c>
      <c r="Z28" s="174">
        <f>IF(AND(YEAR(JuneOffSet+4)=CalendarYear,MONTH(JuneOffSet+4)=6),JuneOffSet+4,"")</f>
        <v>46540</v>
      </c>
      <c r="AA28" s="174">
        <f>IF(AND(YEAR(JuneOffSet+5)=CalendarYear,MONTH(JuneOffSet+5)=6),JuneOffSet+5,"")</f>
        <v>46541</v>
      </c>
      <c r="AB28" s="173">
        <f>IF(AND(YEAR(JuneOffSet+6)=CalendarYear,MONTH(JuneOffSet+6)=6),JuneOffSet+6,"")</f>
        <v>46542</v>
      </c>
      <c r="AC28" s="77"/>
      <c r="AD28" s="11"/>
    </row>
    <row r="29" spans="1:30" ht="15" customHeight="1" x14ac:dyDescent="0.25">
      <c r="A29" s="16"/>
      <c r="B29" s="259"/>
      <c r="C29" s="167"/>
      <c r="D29" s="168"/>
      <c r="E29" s="168"/>
      <c r="F29" s="168"/>
      <c r="G29" s="169"/>
      <c r="H29" s="77"/>
      <c r="I29" s="240"/>
      <c r="J29" s="167"/>
      <c r="K29" s="168"/>
      <c r="L29" s="168"/>
      <c r="M29" s="168"/>
      <c r="N29" s="169"/>
      <c r="O29" s="77"/>
      <c r="P29" s="262"/>
      <c r="Q29" s="167"/>
      <c r="R29" s="168"/>
      <c r="S29" s="168"/>
      <c r="T29" s="168"/>
      <c r="U29" s="169"/>
      <c r="V29" s="77"/>
      <c r="W29" s="240"/>
      <c r="X29" s="167"/>
      <c r="Y29" s="168"/>
      <c r="Z29" s="168"/>
      <c r="AA29" s="168"/>
      <c r="AB29" s="169"/>
      <c r="AC29" s="77"/>
      <c r="AD29" s="11"/>
    </row>
    <row r="30" spans="1:30" x14ac:dyDescent="0.25">
      <c r="A30" s="16"/>
      <c r="B30" s="259"/>
      <c r="C30" s="88">
        <f>IF(AND(YEAR(SeptOffSet+9)=BegCalYear,MONTH(SeptOffSet+9)=9),SeptOffSet+9,"")</f>
        <v>46272</v>
      </c>
      <c r="D30" s="174">
        <f>IF(AND(YEAR(SeptOffSet+10)=BegCalYear,MONTH(SeptOffSet+10)=9),SeptOffSet+10,"")</f>
        <v>46273</v>
      </c>
      <c r="E30" s="174">
        <f>IF(AND(YEAR(SeptOffSet+11)=BegCalYear,MONTH(SeptOffSet+11)=9),SeptOffSet+11,"")</f>
        <v>46274</v>
      </c>
      <c r="F30" s="174">
        <f>IF(AND(YEAR(SeptOffSet+12)=BegCalYear,MONTH(SeptOffSet+12)=9),SeptOffSet+12,"")</f>
        <v>46275</v>
      </c>
      <c r="G30" s="173">
        <f>IF(AND(YEAR(SeptOffSet+13)=BegCalYear,MONTH(SeptOffSet+13)=9),SeptOffSet+13,"")</f>
        <v>46276</v>
      </c>
      <c r="H30" s="77"/>
      <c r="I30" s="240"/>
      <c r="J30" s="88">
        <f>IF(AND(YEAR(DecOffSet+9)=BegCalYear,MONTH(DecOffSet+9)=12),DecOffSet+9,"")</f>
        <v>46363</v>
      </c>
      <c r="K30" s="174">
        <f>IF(AND(YEAR(DecOffSet+10)=BegCalYear,MONTH(DecOffSet+10)=12),DecOffSet+10,"")</f>
        <v>46364</v>
      </c>
      <c r="L30" s="174">
        <f>IF(AND(YEAR(DecOffSet+11)=BegCalYear,MONTH(DecOffSet+11)=12),DecOffSet+11,"")</f>
        <v>46365</v>
      </c>
      <c r="M30" s="174">
        <f>IF(AND(YEAR(DecOffSet+12)=BegCalYear,MONTH(DecOffSet+12)=12),DecOffSet+12,"")</f>
        <v>46366</v>
      </c>
      <c r="N30" s="173">
        <f>IF(AND(YEAR(DecOffSet+13)=BegCalYear,MONTH(DecOffSet+13)=12),DecOffSet+13,"")</f>
        <v>46367</v>
      </c>
      <c r="O30" s="77"/>
      <c r="P30" s="262"/>
      <c r="Q30" s="88">
        <f>IF(AND(YEAR(MarOffSet+9)=CalendarYear,MONTH(MarOffSet+9)=3),MarOffSet+9,"")</f>
        <v>46454</v>
      </c>
      <c r="R30" s="174">
        <f>IF(AND(YEAR(MarOffSet+10)=CalendarYear,MONTH(MarOffSet+10)=3),MarOffSet+10,"")</f>
        <v>46455</v>
      </c>
      <c r="S30" s="174">
        <f>IF(AND(YEAR(MarOffSet+11)=CalendarYear,MONTH(MarOffSet+11)=3),MarOffSet+11,"")</f>
        <v>46456</v>
      </c>
      <c r="T30" s="174">
        <f>IF(AND(YEAR(MarOffSet+12)=CalendarYear,MONTH(MarOffSet+12)=3),MarOffSet+12,"")</f>
        <v>46457</v>
      </c>
      <c r="U30" s="173">
        <f>IF(AND(YEAR(MarOffSet+13)=CalendarYear,MONTH(MarOffSet+13)=3),MarOffSet+13,"")</f>
        <v>46458</v>
      </c>
      <c r="V30" s="77"/>
      <c r="W30" s="240"/>
      <c r="X30" s="88">
        <f>IF(AND(YEAR(JuneOffSet+9)=CalendarYear,MONTH(JuneOffSet+9)=6),JuneOffSet+9,"")</f>
        <v>46545</v>
      </c>
      <c r="Y30" s="174">
        <f>IF(AND(YEAR(JuneOffSet+10)=CalendarYear,MONTH(JuneOffSet+10)=6),JuneOffSet+10,"")</f>
        <v>46546</v>
      </c>
      <c r="Z30" s="174">
        <f>IF(AND(YEAR(JuneOffSet+11)=CalendarYear,MONTH(JuneOffSet+11)=6),JuneOffSet+11,"")</f>
        <v>46547</v>
      </c>
      <c r="AA30" s="174">
        <f>IF(AND(YEAR(JuneOffSet+12)=CalendarYear,MONTH(JuneOffSet+12)=6),JuneOffSet+12,"")</f>
        <v>46548</v>
      </c>
      <c r="AB30" s="173">
        <f>IF(AND(YEAR(JuneOffSet+13)=CalendarYear,MONTH(JuneOffSet+13)=6),JuneOffSet+13,"")</f>
        <v>46549</v>
      </c>
      <c r="AC30" s="77"/>
      <c r="AD30" s="11"/>
    </row>
    <row r="31" spans="1:30" x14ac:dyDescent="0.25">
      <c r="A31" s="16"/>
      <c r="B31" s="259"/>
      <c r="C31" s="167"/>
      <c r="D31" s="168"/>
      <c r="E31" s="168"/>
      <c r="F31" s="168"/>
      <c r="G31" s="169"/>
      <c r="H31" s="77"/>
      <c r="I31" s="240"/>
      <c r="J31" s="167"/>
      <c r="K31" s="168"/>
      <c r="L31" s="168"/>
      <c r="M31" s="168"/>
      <c r="N31" s="169"/>
      <c r="O31" s="77"/>
      <c r="P31" s="262"/>
      <c r="Q31" s="167"/>
      <c r="R31" s="168"/>
      <c r="S31" s="168"/>
      <c r="T31" s="168"/>
      <c r="U31" s="169"/>
      <c r="V31" s="77"/>
      <c r="W31" s="240"/>
      <c r="X31" s="167"/>
      <c r="Y31" s="168"/>
      <c r="Z31" s="168"/>
      <c r="AA31" s="168"/>
      <c r="AB31" s="169"/>
      <c r="AC31" s="77"/>
      <c r="AD31" s="11"/>
    </row>
    <row r="32" spans="1:30" x14ac:dyDescent="0.25">
      <c r="A32" s="16"/>
      <c r="B32" s="259"/>
      <c r="C32" s="88">
        <f>IF(AND(YEAR(SeptOffSet+16)=BegCalYear,MONTH(SeptOffSet+16)=9),SeptOffSet+16,"")</f>
        <v>46279</v>
      </c>
      <c r="D32" s="174">
        <f>IF(AND(YEAR(SeptOffSet+17)=BegCalYear,MONTH(SeptOffSet+17)=9),SeptOffSet+17,"")</f>
        <v>46280</v>
      </c>
      <c r="E32" s="174">
        <f>IF(AND(YEAR(SeptOffSet+18)=BegCalYear,MONTH(SeptOffSet+18)=9),SeptOffSet+18,"")</f>
        <v>46281</v>
      </c>
      <c r="F32" s="174">
        <f>IF(AND(YEAR(SeptOffSet+19)=BegCalYear,MONTH(SeptOffSet+19)=9),SeptOffSet+19,"")</f>
        <v>46282</v>
      </c>
      <c r="G32" s="173">
        <f>IF(AND(YEAR(SeptOffSet+20)=BegCalYear,MONTH(SeptOffSet+20)=9),SeptOffSet+20,"")</f>
        <v>46283</v>
      </c>
      <c r="H32" s="77"/>
      <c r="I32" s="240"/>
      <c r="J32" s="88">
        <f>IF(AND(YEAR(DecOffSet+16)=BegCalYear,MONTH(DecOffSet+16)=12),DecOffSet+16,"")</f>
        <v>46370</v>
      </c>
      <c r="K32" s="174">
        <f>IF(AND(YEAR(DecOffSet+17)=BegCalYear,MONTH(DecOffSet+17)=12),DecOffSet+17,"")</f>
        <v>46371</v>
      </c>
      <c r="L32" s="174">
        <f>IF(AND(YEAR(DecOffSet+18)=BegCalYear,MONTH(DecOffSet+18)=12),DecOffSet+18,"")</f>
        <v>46372</v>
      </c>
      <c r="M32" s="174">
        <f>IF(AND(YEAR(DecOffSet+19)=BegCalYear,MONTH(DecOffSet+19)=12),DecOffSet+19,"")</f>
        <v>46373</v>
      </c>
      <c r="N32" s="173">
        <f>IF(AND(YEAR(DecOffSet+20)=BegCalYear,MONTH(DecOffSet+20)=12),DecOffSet+20,"")</f>
        <v>46374</v>
      </c>
      <c r="O32" s="77"/>
      <c r="P32" s="262"/>
      <c r="Q32" s="88">
        <f>IF(AND(YEAR(MarOffSet+16)=CalendarYear,MONTH(MarOffSet+16)=3),MarOffSet+16,"")</f>
        <v>46461</v>
      </c>
      <c r="R32" s="174">
        <f>IF(AND(YEAR(MarOffSet+17)=CalendarYear,MONTH(MarOffSet+17)=3),MarOffSet+17,"")</f>
        <v>46462</v>
      </c>
      <c r="S32" s="174">
        <f>IF(AND(YEAR(MarOffSet+18)=CalendarYear,MONTH(MarOffSet+18)=3),MarOffSet+18,"")</f>
        <v>46463</v>
      </c>
      <c r="T32" s="174">
        <f>IF(AND(YEAR(MarOffSet+19)=CalendarYear,MONTH(MarOffSet+19)=3),MarOffSet+19,"")</f>
        <v>46464</v>
      </c>
      <c r="U32" s="173">
        <f>IF(AND(YEAR(MarOffSet+20)=CalendarYear,MONTH(MarOffSet+20)=3),MarOffSet+20,"")</f>
        <v>46465</v>
      </c>
      <c r="V32" s="77"/>
      <c r="W32" s="240"/>
      <c r="X32" s="88">
        <f>IF(AND(YEAR(JuneOffSet+16)=CalendarYear,MONTH(JuneOffSet+16)=6),JuneOffSet+16,"")</f>
        <v>46552</v>
      </c>
      <c r="Y32" s="174">
        <f>IF(AND(YEAR(JuneOffSet+17)=CalendarYear,MONTH(JuneOffSet+17)=6),JuneOffSet+17,"")</f>
        <v>46553</v>
      </c>
      <c r="Z32" s="174">
        <f>IF(AND(YEAR(JuneOffSet+18)=CalendarYear,MONTH(JuneOffSet+18)=6),JuneOffSet+18,"")</f>
        <v>46554</v>
      </c>
      <c r="AA32" s="174">
        <f>IF(AND(YEAR(JuneOffSet+19)=CalendarYear,MONTH(JuneOffSet+19)=6),JuneOffSet+19,"")</f>
        <v>46555</v>
      </c>
      <c r="AB32" s="173">
        <f>IF(AND(YEAR(JuneOffSet+20)=CalendarYear,MONTH(JuneOffSet+20)=6),JuneOffSet+20,"")</f>
        <v>46556</v>
      </c>
      <c r="AC32" s="77"/>
      <c r="AD32" s="11"/>
    </row>
    <row r="33" spans="1:41" ht="15" customHeight="1" x14ac:dyDescent="0.25">
      <c r="A33" s="16"/>
      <c r="B33" s="259"/>
      <c r="C33" s="167"/>
      <c r="D33" s="168"/>
      <c r="E33" s="168"/>
      <c r="F33" s="168"/>
      <c r="G33" s="169"/>
      <c r="H33" s="77" t="s">
        <v>26</v>
      </c>
      <c r="I33" s="240"/>
      <c r="J33" s="167"/>
      <c r="K33" s="168"/>
      <c r="L33" s="168"/>
      <c r="M33" s="168"/>
      <c r="N33" s="169"/>
      <c r="O33" s="77" t="s">
        <v>27</v>
      </c>
      <c r="P33" s="262"/>
      <c r="Q33" s="167"/>
      <c r="R33" s="168"/>
      <c r="S33" s="168"/>
      <c r="T33" s="168"/>
      <c r="U33" s="169"/>
      <c r="V33" s="77" t="s">
        <v>28</v>
      </c>
      <c r="W33" s="240"/>
      <c r="X33" s="167"/>
      <c r="Y33" s="168"/>
      <c r="Z33" s="168"/>
      <c r="AA33" s="168"/>
      <c r="AB33" s="169"/>
      <c r="AC33" s="77" t="s">
        <v>81</v>
      </c>
      <c r="AD33" s="11"/>
    </row>
    <row r="34" spans="1:41" ht="15" customHeight="1" x14ac:dyDescent="0.25">
      <c r="A34" s="16"/>
      <c r="B34" s="259"/>
      <c r="C34" s="88">
        <f>IF(AND(YEAR(SeptOffSet+23)=BegCalYear,MONTH(SeptOffSet+23)=9),SeptOffSet+23,"")</f>
        <v>46286</v>
      </c>
      <c r="D34" s="174">
        <f>IF(AND(YEAR(SeptOffSet+24)=BegCalYear,MONTH(SeptOffSet+24)=9),SeptOffSet+24,"")</f>
        <v>46287</v>
      </c>
      <c r="E34" s="174">
        <f>IF(AND(YEAR(SeptOffSet+25)=BegCalYear,MONTH(SeptOffSet+25)=9),SeptOffSet+25,"")</f>
        <v>46288</v>
      </c>
      <c r="F34" s="174">
        <f>IF(AND(YEAR(SeptOffSet+26)=BegCalYear,MONTH(SeptOffSet+26)=9),SeptOffSet+26,"")</f>
        <v>46289</v>
      </c>
      <c r="G34" s="173">
        <f>IF(AND(YEAR(SeptOffSet+27)=BegCalYear,MONTH(SeptOffSet+27)=9),SeptOffSet+27,"")</f>
        <v>46290</v>
      </c>
      <c r="H34" s="25" t="s">
        <v>13</v>
      </c>
      <c r="I34" s="240"/>
      <c r="J34" s="88">
        <f>IF(AND(YEAR(DecOffSet+23)=BegCalYear,MONTH(DecOffSet+23)=12),DecOffSet+23,"")</f>
        <v>46377</v>
      </c>
      <c r="K34" s="174">
        <f>IF(AND(YEAR(DecOffSet+24)=BegCalYear,MONTH(DecOffSet+24)=12),DecOffSet+24,"")</f>
        <v>46378</v>
      </c>
      <c r="L34" s="174">
        <f>IF(AND(YEAR(DecOffSet+25)=BegCalYear,MONTH(DecOffSet+25)=12),DecOffSet+25,"")</f>
        <v>46379</v>
      </c>
      <c r="M34" s="174">
        <f>IF(AND(YEAR(DecOffSet+26)=BegCalYear,MONTH(DecOffSet+26)=12),DecOffSet+26,"")</f>
        <v>46380</v>
      </c>
      <c r="N34" s="173">
        <f>IF(AND(YEAR(DecOffSet+27)=BegCalYear,MONTH(DecOffSet+27)=12),DecOffSet+27,"")</f>
        <v>46381</v>
      </c>
      <c r="O34" s="25" t="s">
        <v>13</v>
      </c>
      <c r="P34" s="262"/>
      <c r="Q34" s="88">
        <f>IF(AND(YEAR(MarOffSet+23)=CalendarYear,MONTH(MarOffSet+23)=3),MarOffSet+23,"")</f>
        <v>46468</v>
      </c>
      <c r="R34" s="174">
        <f>IF(AND(YEAR(MarOffSet+24)=CalendarYear,MONTH(MarOffSet+24)=3),MarOffSet+24,"")</f>
        <v>46469</v>
      </c>
      <c r="S34" s="174">
        <f>IF(AND(YEAR(MarOffSet+25)=CalendarYear,MONTH(MarOffSet+25)=3),MarOffSet+25,"")</f>
        <v>46470</v>
      </c>
      <c r="T34" s="174">
        <f>IF(AND(YEAR(MarOffSet+26)=CalendarYear,MONTH(MarOffSet+26)=3),MarOffSet+26,"")</f>
        <v>46471</v>
      </c>
      <c r="U34" s="173">
        <f>IF(AND(YEAR(MarOffSet+27)=CalendarYear,MONTH(MarOffSet+27)=3),MarOffSet+27,"")</f>
        <v>46472</v>
      </c>
      <c r="V34" s="25" t="s">
        <v>13</v>
      </c>
      <c r="W34" s="240"/>
      <c r="X34" s="88">
        <f>IF(AND(YEAR(JuneOffSet+23)=CalendarYear,MONTH(JuneOffSet+23)=6),JuneOffSet+23,"")</f>
        <v>46559</v>
      </c>
      <c r="Y34" s="174">
        <f>IF(AND(YEAR(JuneOffSet+24)=CalendarYear,MONTH(JuneOffSet+24)=6),JuneOffSet+24,"")</f>
        <v>46560</v>
      </c>
      <c r="Z34" s="174">
        <f>IF(AND(YEAR(JuneOffSet+25)=CalendarYear,MONTH(JuneOffSet+25)=6),JuneOffSet+25,"")</f>
        <v>46561</v>
      </c>
      <c r="AA34" s="174">
        <f>IF(AND(YEAR(JuneOffSet+26)=CalendarYear,MONTH(JuneOffSet+26)=6),JuneOffSet+26,"")</f>
        <v>46562</v>
      </c>
      <c r="AB34" s="173">
        <f>IF(AND(YEAR(JuneOffSet+27)=CalendarYear,MONTH(JuneOffSet+27)=6),JuneOffSet+27,"")</f>
        <v>46563</v>
      </c>
      <c r="AC34" s="25" t="s">
        <v>13</v>
      </c>
      <c r="AD34" s="11"/>
    </row>
    <row r="35" spans="1:41" ht="16.5" customHeight="1" x14ac:dyDescent="0.25">
      <c r="A35" s="16"/>
      <c r="B35" s="259"/>
      <c r="C35" s="167"/>
      <c r="D35" s="168"/>
      <c r="E35" s="168"/>
      <c r="F35" s="168"/>
      <c r="G35" s="169"/>
      <c r="H35" s="77" t="s">
        <v>14</v>
      </c>
      <c r="I35" s="240"/>
      <c r="J35" s="167"/>
      <c r="K35" s="168"/>
      <c r="L35" s="168"/>
      <c r="M35" s="168"/>
      <c r="N35" s="169"/>
      <c r="O35" s="77" t="s">
        <v>14</v>
      </c>
      <c r="P35" s="262"/>
      <c r="Q35" s="167"/>
      <c r="R35" s="168"/>
      <c r="S35" s="168"/>
      <c r="T35" s="168"/>
      <c r="U35" s="169"/>
      <c r="V35" s="77" t="s">
        <v>14</v>
      </c>
      <c r="W35" s="240"/>
      <c r="X35" s="167"/>
      <c r="Y35" s="168"/>
      <c r="Z35" s="168"/>
      <c r="AA35" s="168"/>
      <c r="AB35" s="169"/>
      <c r="AC35" s="77" t="s">
        <v>14</v>
      </c>
      <c r="AD35" s="11"/>
    </row>
    <row r="36" spans="1:41" ht="15.75" thickBot="1" x14ac:dyDescent="0.3">
      <c r="A36" s="16"/>
      <c r="B36" s="260"/>
      <c r="C36" s="89">
        <f>IF(AND(YEAR(SeptOffSet+30)=BegCalYear,MONTH(SeptOffSet+30)=9),SeptOffSet+30,"")</f>
        <v>46293</v>
      </c>
      <c r="D36" s="175">
        <f>IF(AND(YEAR(SeptOffSet+31)=BegCalYear,MONTH(SeptOffSet+31)=9),SeptOffSet+31,"")</f>
        <v>46294</v>
      </c>
      <c r="E36" s="175">
        <f>IF(AND(YEAR(SeptOffSet+32)=BegCalYear,MONTH(SeptOffSet+32)=9),SeptOffSet+32,"")</f>
        <v>46295</v>
      </c>
      <c r="F36" s="175" t="str">
        <f>IF(AND(YEAR(SeptOffSet+33)=BegCalYear,MONTH(SeptOffSet+33)=9),SeptOffSet+33,"")</f>
        <v/>
      </c>
      <c r="G36" s="176" t="str">
        <f>IF(AND(YEAR(SeptOffSet+34)=BegCalYear,MONTH(SeptOffSet+34)=9),SeptOffSet+34,"")</f>
        <v/>
      </c>
      <c r="H36" s="78">
        <f>ROUNDDOWN(SUM(SUM(C27:G27,C29:G29,C31:G31,C33:G33,C35:G35)/8),1)</f>
        <v>0</v>
      </c>
      <c r="I36" s="252"/>
      <c r="J36" s="89">
        <f>IF(AND(YEAR(DecOffSet+30)=BegCalYear,MONTH(DecOffSet+30)=12),DecOffSet+30,"")</f>
        <v>46384</v>
      </c>
      <c r="K36" s="175">
        <f>IF(AND(YEAR(DecOffSet+31)=BegCalYear,MONTH(DecOffSet+31)=12),DecOffSet+31,"")</f>
        <v>46385</v>
      </c>
      <c r="L36" s="175">
        <f>IF(AND(YEAR(DecOffSet+32)=BegCalYear,MONTH(DecOffSet+32)=12),DecOffSet+32,"")</f>
        <v>46386</v>
      </c>
      <c r="M36" s="175">
        <f>IF(AND(YEAR(DecOffSet+33)=BegCalYear,MONTH(DecOffSet+33)=12),DecOffSet+33,"")</f>
        <v>46387</v>
      </c>
      <c r="N36" s="176" t="str">
        <f>IF(AND(YEAR(DecOffSet+34)=BegCalYear,MONTH(DecOffSet+34)=12),DecOffSet+34,"")</f>
        <v/>
      </c>
      <c r="O36" s="78">
        <f>ROUNDDOWN(SUM(SUM(J27:N27,J29:N29,J31:N31,J33:N33,J35:N35)/8),1)</f>
        <v>0</v>
      </c>
      <c r="P36" s="263"/>
      <c r="Q36" s="89">
        <f>IF(AND(YEAR(MarOffSet+30)=CalendarYear,MONTH(MarOffSet+30)=3),MarOffSet+30,"")</f>
        <v>46475</v>
      </c>
      <c r="R36" s="175">
        <f>IF(AND(YEAR(MarOffSet+31)=CalendarYear,MONTH(MarOffSet+31)=3),MarOffSet+31,"")</f>
        <v>46476</v>
      </c>
      <c r="S36" s="175">
        <f>IF(AND(YEAR(MarOffSet+32)=CalendarYear,MONTH(MarOffSet+32)=3),MarOffSet+32,"")</f>
        <v>46477</v>
      </c>
      <c r="T36" s="175" t="str">
        <f>IF(AND(YEAR(MarOffSet+33)=CalendarYear,MONTH(MarOffSet+33)=3),MarOffSet+33,"")</f>
        <v/>
      </c>
      <c r="U36" s="176" t="str">
        <f>IF(AND(YEAR(MarOffSet+34)=CalendarYear,MONTH(MarOffSet+34)=3),MarOffSet+34,"")</f>
        <v/>
      </c>
      <c r="V36" s="78">
        <f>ROUNDDOWN(SUM(SUM(Q27:U27,Q29:U29,Q31:U31,Q33:U33,Q35:U35)/8),1)</f>
        <v>0</v>
      </c>
      <c r="W36" s="240"/>
      <c r="X36" s="89">
        <f>IF(AND(YEAR(JuneOffSet+30)=CalendarYear,MONTH(JuneOffSet+30)=6),JuneOffSet+30,"")</f>
        <v>46566</v>
      </c>
      <c r="Y36" s="175">
        <f>IF(AND(YEAR(JuneOffSet+31)=CalendarYear,MONTH(JuneOffSet+31)=6),JuneOffSet+31,"")</f>
        <v>46567</v>
      </c>
      <c r="Z36" s="175">
        <f>IF(AND(YEAR(JuneOffSet+32)=CalendarYear,MONTH(JuneOffSet+32)=6),JuneOffSet+32,"")</f>
        <v>46568</v>
      </c>
      <c r="AA36" s="175" t="str">
        <f>IF(AND(YEAR(JuneOffSet+33)=CalendarYear,MONTH(JuneOffSet+33)=6),JuneOffSet+33,"")</f>
        <v/>
      </c>
      <c r="AB36" s="176" t="str">
        <f>IF(AND(YEAR(JuneOffSet+34)=CalendarYear,MONTH(JuneOffSet+34)=6),JuneOffSet+34,"")</f>
        <v/>
      </c>
      <c r="AC36" s="78">
        <f>ROUNDDOWN(SUM(SUM(X27:AB27,X29:AB29,X31:AB31,X33:AB33,X35:AB35,)/8),1)</f>
        <v>0</v>
      </c>
      <c r="AD36" s="11"/>
    </row>
    <row r="37" spans="1:41" x14ac:dyDescent="0.25">
      <c r="A37" s="16"/>
      <c r="B37" s="16"/>
      <c r="C37" s="25"/>
      <c r="D37" s="25"/>
      <c r="E37" s="25"/>
      <c r="F37" s="25"/>
      <c r="G37" s="25"/>
      <c r="H37" s="25"/>
      <c r="I37" s="25"/>
      <c r="J37" s="25"/>
      <c r="K37" s="25"/>
      <c r="L37" s="25"/>
      <c r="M37" s="25"/>
      <c r="N37" s="25"/>
      <c r="O37" s="25"/>
      <c r="P37" s="25"/>
      <c r="Q37" s="25"/>
      <c r="R37" s="25"/>
      <c r="S37" s="25"/>
      <c r="T37" s="25"/>
      <c r="U37" s="25"/>
      <c r="V37" s="25"/>
      <c r="W37" s="24"/>
      <c r="X37" s="25"/>
      <c r="Y37" s="25"/>
      <c r="Z37" s="25"/>
      <c r="AA37" s="25"/>
      <c r="AB37" s="25"/>
      <c r="AC37" s="77"/>
      <c r="AD37" s="11"/>
    </row>
    <row r="38" spans="1:41" ht="15" customHeight="1" x14ac:dyDescent="0.25">
      <c r="A38" s="16"/>
      <c r="B38" s="16"/>
      <c r="C38" s="25"/>
      <c r="D38" s="25"/>
      <c r="E38" s="25"/>
      <c r="F38" s="25"/>
      <c r="G38" s="25"/>
      <c r="H38" s="25"/>
      <c r="I38" s="25"/>
      <c r="J38" s="25"/>
      <c r="K38" s="25"/>
      <c r="L38" s="25"/>
      <c r="M38" s="11"/>
      <c r="N38" s="11"/>
      <c r="O38" s="11"/>
      <c r="P38" s="11"/>
      <c r="Q38" s="11"/>
      <c r="R38" s="11"/>
      <c r="S38" s="11"/>
      <c r="T38" s="11"/>
      <c r="U38" s="11"/>
      <c r="V38" s="191"/>
      <c r="W38" s="241"/>
      <c r="X38" s="192"/>
      <c r="Y38" s="192"/>
      <c r="Z38" s="192"/>
      <c r="AA38" s="192"/>
      <c r="AB38" s="192"/>
      <c r="AC38" s="193"/>
      <c r="AD38" s="11"/>
    </row>
    <row r="39" spans="1:41" ht="15" customHeight="1" x14ac:dyDescent="0.25">
      <c r="A39" s="18"/>
      <c r="B39" s="96"/>
      <c r="C39" s="265" t="s">
        <v>29</v>
      </c>
      <c r="D39" s="266"/>
      <c r="E39" s="19"/>
      <c r="F39" s="19"/>
      <c r="G39" s="20"/>
      <c r="H39" s="21"/>
      <c r="I39" s="69"/>
      <c r="J39" s="264" t="s">
        <v>30</v>
      </c>
      <c r="K39" s="264"/>
      <c r="L39" s="22"/>
      <c r="M39" s="16"/>
      <c r="N39" s="16"/>
      <c r="O39" s="16"/>
      <c r="P39" s="16"/>
      <c r="Q39" s="16"/>
      <c r="R39" s="16"/>
      <c r="S39" s="11"/>
      <c r="T39" s="11"/>
      <c r="U39" s="11"/>
      <c r="V39" s="90"/>
      <c r="W39" s="241"/>
      <c r="X39" s="194"/>
      <c r="Y39" s="194"/>
      <c r="Z39" s="194"/>
      <c r="AA39" s="194"/>
      <c r="AB39" s="194"/>
      <c r="AC39" s="191"/>
      <c r="AD39" s="11"/>
    </row>
    <row r="40" spans="1:41" ht="15.75" customHeight="1" x14ac:dyDescent="0.25">
      <c r="A40" s="14"/>
      <c r="B40" s="95"/>
      <c r="C40" s="265" t="s">
        <v>31</v>
      </c>
      <c r="D40" s="266"/>
      <c r="E40" s="266"/>
      <c r="F40" s="172"/>
      <c r="G40" s="172"/>
      <c r="H40" s="14"/>
      <c r="I40" s="3"/>
      <c r="J40" s="266" t="s">
        <v>32</v>
      </c>
      <c r="K40" s="266"/>
      <c r="L40" s="30"/>
      <c r="M40" s="272"/>
      <c r="N40" s="272"/>
      <c r="O40" s="272"/>
      <c r="P40" s="272"/>
      <c r="Q40" s="272"/>
      <c r="R40" s="272"/>
      <c r="S40" s="11"/>
      <c r="T40" s="11"/>
      <c r="U40" s="11"/>
      <c r="V40" s="37"/>
      <c r="W40" s="241"/>
      <c r="X40" s="192"/>
      <c r="Y40" s="192"/>
      <c r="Z40" s="192"/>
      <c r="AA40" s="192"/>
      <c r="AB40" s="192"/>
      <c r="AC40" s="193"/>
      <c r="AD40" s="11"/>
    </row>
    <row r="41" spans="1:41" ht="16.5" customHeight="1" x14ac:dyDescent="0.25">
      <c r="A41" s="16"/>
      <c r="B41" s="4"/>
      <c r="C41" s="265" t="s">
        <v>33</v>
      </c>
      <c r="D41" s="266"/>
      <c r="E41" s="266"/>
      <c r="F41" s="266"/>
      <c r="G41" s="266"/>
      <c r="H41" s="14"/>
      <c r="I41" s="5"/>
      <c r="J41" s="266" t="s">
        <v>34</v>
      </c>
      <c r="K41" s="266"/>
      <c r="L41" s="31"/>
      <c r="M41" s="273"/>
      <c r="N41" s="273"/>
      <c r="O41" s="271"/>
      <c r="P41" s="271"/>
      <c r="Q41" s="274"/>
      <c r="R41" s="274"/>
      <c r="S41" s="11"/>
      <c r="T41" s="11"/>
      <c r="U41" s="11"/>
      <c r="V41" s="195"/>
      <c r="W41" s="241"/>
      <c r="X41" s="194"/>
      <c r="Y41" s="194"/>
      <c r="Z41" s="194"/>
      <c r="AA41" s="194"/>
      <c r="AB41" s="194"/>
      <c r="AC41" s="196"/>
      <c r="AD41" s="11"/>
    </row>
    <row r="42" spans="1:41" ht="15" customHeight="1" x14ac:dyDescent="0.25">
      <c r="A42" s="14"/>
      <c r="B42" s="67"/>
      <c r="C42" s="265" t="s">
        <v>36</v>
      </c>
      <c r="D42" s="266"/>
      <c r="E42" s="266"/>
      <c r="F42" s="266"/>
      <c r="G42" s="266"/>
      <c r="H42" s="266"/>
      <c r="I42" s="14"/>
      <c r="J42" s="172"/>
      <c r="K42" s="31"/>
      <c r="L42" s="31"/>
      <c r="M42" s="273"/>
      <c r="N42" s="273"/>
      <c r="O42" s="271"/>
      <c r="P42" s="271"/>
      <c r="Q42" s="237"/>
      <c r="R42" s="237"/>
      <c r="S42" s="11"/>
      <c r="T42" s="11"/>
      <c r="U42" s="11"/>
      <c r="V42" s="31"/>
      <c r="W42" s="31"/>
      <c r="X42" s="31"/>
      <c r="Y42" s="11"/>
      <c r="Z42" s="11"/>
      <c r="AA42" s="11"/>
      <c r="AB42" s="11"/>
      <c r="AC42" s="11"/>
      <c r="AD42" s="11"/>
    </row>
    <row r="43" spans="1:41" ht="15.75" customHeight="1" x14ac:dyDescent="0.25">
      <c r="A43" s="14"/>
      <c r="B43" s="14"/>
      <c r="C43" s="12"/>
      <c r="D43" s="12"/>
      <c r="E43" s="12"/>
      <c r="F43" s="12"/>
      <c r="G43" s="12"/>
      <c r="H43" s="12"/>
      <c r="I43" s="12"/>
      <c r="J43" s="12"/>
      <c r="K43" s="12"/>
      <c r="L43" s="12"/>
      <c r="M43" s="270"/>
      <c r="N43" s="270"/>
      <c r="O43" s="237"/>
      <c r="P43" s="237"/>
      <c r="Q43" s="236"/>
      <c r="R43" s="236"/>
      <c r="S43" s="11"/>
      <c r="T43" s="11"/>
      <c r="U43" s="11"/>
      <c r="V43" s="86"/>
      <c r="W43" s="243" t="s">
        <v>35</v>
      </c>
      <c r="X43" s="243"/>
      <c r="Y43" s="244"/>
      <c r="Z43" s="245">
        <f>ROUNDUP(SUM(H14,O14,V14,AC14,H25,O25,V25,AC25,H36,O36,V36,AC36,AC41)+IF(C50&gt;1,0.5,0)+IF(C51&gt;1,0.5),1)</f>
        <v>0</v>
      </c>
      <c r="AA43" s="246"/>
      <c r="AB43" s="249" t="e">
        <f>IF((Z43=X2),"ü","û")</f>
        <v>#N/A</v>
      </c>
      <c r="AC43" s="11"/>
      <c r="AD43" s="11"/>
    </row>
    <row r="44" spans="1:41" ht="15.75" customHeight="1" x14ac:dyDescent="0.25">
      <c r="A44" s="14"/>
      <c r="B44" s="11"/>
      <c r="C44" s="11"/>
      <c r="D44" s="11"/>
      <c r="E44" s="11"/>
      <c r="F44" s="11"/>
      <c r="G44" s="11"/>
      <c r="H44" s="11"/>
      <c r="I44" s="11"/>
      <c r="J44" s="11"/>
      <c r="K44" s="11"/>
      <c r="L44" s="16"/>
      <c r="M44" s="235"/>
      <c r="N44" s="235"/>
      <c r="O44" s="235"/>
      <c r="P44" s="235"/>
      <c r="Q44" s="235"/>
      <c r="R44" s="235"/>
      <c r="S44" s="170"/>
      <c r="T44" s="11"/>
      <c r="U44" s="11"/>
      <c r="V44" s="11"/>
      <c r="W44" s="243"/>
      <c r="X44" s="243"/>
      <c r="Y44" s="244"/>
      <c r="Z44" s="247"/>
      <c r="AA44" s="248"/>
      <c r="AB44" s="249"/>
      <c r="AC44" s="11"/>
      <c r="AD44" s="11"/>
    </row>
    <row r="45" spans="1:41" ht="17.25" customHeight="1" x14ac:dyDescent="0.25">
      <c r="A45" s="14"/>
      <c r="B45" s="11"/>
      <c r="C45" s="11"/>
      <c r="D45" s="11"/>
      <c r="E45" s="11"/>
      <c r="F45" s="11"/>
      <c r="G45" s="11"/>
      <c r="H45" s="11"/>
      <c r="I45" s="11"/>
      <c r="J45" s="11"/>
      <c r="K45" s="11"/>
      <c r="L45" s="16"/>
      <c r="M45" s="235"/>
      <c r="N45" s="235"/>
      <c r="O45" s="235"/>
      <c r="P45" s="235"/>
      <c r="Q45" s="235"/>
      <c r="R45" s="235"/>
      <c r="S45" s="11"/>
      <c r="T45" s="11"/>
      <c r="U45" s="11"/>
      <c r="V45" s="11"/>
      <c r="W45" s="11"/>
      <c r="X45" s="242" t="s">
        <v>50</v>
      </c>
      <c r="Y45" s="242"/>
      <c r="Z45" s="242"/>
      <c r="AA45" s="242"/>
      <c r="AB45" s="16"/>
      <c r="AC45" s="11"/>
      <c r="AD45" s="68"/>
      <c r="AE45" s="85"/>
      <c r="AF45" s="85"/>
      <c r="AG45" s="85"/>
      <c r="AH45" s="85"/>
      <c r="AI45" s="85"/>
      <c r="AJ45" s="85"/>
      <c r="AK45" s="85"/>
      <c r="AL45" s="85"/>
      <c r="AM45" s="85"/>
      <c r="AN45" s="85"/>
      <c r="AO45" s="40"/>
    </row>
    <row r="46" spans="1:41" ht="15.75" customHeight="1" thickBot="1" x14ac:dyDescent="0.3">
      <c r="A46" s="14"/>
      <c r="B46" s="11"/>
      <c r="C46" s="11"/>
      <c r="D46" s="11"/>
      <c r="E46" s="11"/>
      <c r="F46" s="11"/>
      <c r="G46" s="11"/>
      <c r="H46" s="11"/>
      <c r="I46" s="11"/>
      <c r="J46" s="11"/>
      <c r="K46" s="11"/>
      <c r="L46" s="11"/>
      <c r="M46" s="221" t="s">
        <v>572</v>
      </c>
      <c r="N46" s="221"/>
      <c r="O46" s="221"/>
      <c r="P46" s="221"/>
      <c r="Q46" s="221"/>
      <c r="R46" s="221"/>
      <c r="S46" s="221"/>
      <c r="T46" s="221"/>
      <c r="U46" s="221"/>
      <c r="V46" s="221"/>
      <c r="W46" s="221"/>
      <c r="X46" s="221"/>
      <c r="Y46" s="221"/>
      <c r="Z46" s="221"/>
      <c r="AA46" s="221"/>
      <c r="AB46" s="221"/>
      <c r="AC46" s="221"/>
      <c r="AD46" s="68"/>
      <c r="AE46" s="85"/>
      <c r="AF46" s="85"/>
      <c r="AG46" s="85"/>
      <c r="AH46" s="85"/>
      <c r="AI46" s="85"/>
      <c r="AJ46" s="85"/>
      <c r="AK46" s="85"/>
      <c r="AL46" s="85"/>
      <c r="AM46" s="85"/>
      <c r="AN46" s="85"/>
      <c r="AO46" s="40"/>
    </row>
    <row r="47" spans="1:41" ht="15.75" customHeight="1" x14ac:dyDescent="0.25">
      <c r="A47" s="14"/>
      <c r="B47" s="267" t="s">
        <v>37</v>
      </c>
      <c r="C47" s="268"/>
      <c r="D47" s="268"/>
      <c r="E47" s="268"/>
      <c r="F47" s="268"/>
      <c r="G47" s="268"/>
      <c r="H47" s="268"/>
      <c r="I47" s="268"/>
      <c r="J47" s="268"/>
      <c r="K47" s="269"/>
      <c r="L47" s="14"/>
      <c r="M47" s="221"/>
      <c r="N47" s="221"/>
      <c r="O47" s="221"/>
      <c r="P47" s="221"/>
      <c r="Q47" s="221"/>
      <c r="R47" s="221"/>
      <c r="S47" s="221"/>
      <c r="T47" s="221"/>
      <c r="U47" s="221"/>
      <c r="V47" s="221"/>
      <c r="W47" s="221"/>
      <c r="X47" s="221"/>
      <c r="Y47" s="221"/>
      <c r="Z47" s="221"/>
      <c r="AA47" s="221"/>
      <c r="AB47" s="221"/>
      <c r="AC47" s="221"/>
      <c r="AD47" s="11"/>
    </row>
    <row r="48" spans="1:41" ht="15" customHeight="1" x14ac:dyDescent="0.25">
      <c r="A48" s="14"/>
      <c r="B48" s="227" t="s">
        <v>38</v>
      </c>
      <c r="C48" s="228"/>
      <c r="D48" s="228"/>
      <c r="E48" s="228"/>
      <c r="F48" s="228"/>
      <c r="G48" s="228"/>
      <c r="H48" s="228"/>
      <c r="I48" s="228"/>
      <c r="J48" s="228"/>
      <c r="K48" s="229"/>
      <c r="L48" s="14"/>
      <c r="M48" s="224"/>
      <c r="N48" s="224"/>
      <c r="O48" s="224"/>
      <c r="P48" s="224"/>
      <c r="Q48" s="224"/>
      <c r="R48" s="224"/>
      <c r="S48" s="224"/>
      <c r="T48" s="224"/>
      <c r="U48" s="224"/>
      <c r="V48" s="224"/>
      <c r="W48" s="224"/>
      <c r="X48" s="224"/>
      <c r="Y48" s="224"/>
      <c r="Z48" s="56"/>
      <c r="AA48" s="56"/>
      <c r="AB48" s="56"/>
      <c r="AC48" s="56"/>
      <c r="AD48" s="11"/>
    </row>
    <row r="49" spans="1:30" x14ac:dyDescent="0.25">
      <c r="A49" s="14"/>
      <c r="B49" s="227"/>
      <c r="C49" s="228"/>
      <c r="D49" s="228"/>
      <c r="E49" s="228"/>
      <c r="F49" s="228"/>
      <c r="G49" s="228"/>
      <c r="H49" s="228"/>
      <c r="I49" s="228"/>
      <c r="J49" s="228"/>
      <c r="K49" s="229"/>
      <c r="L49" s="14"/>
      <c r="M49" s="225"/>
      <c r="N49" s="225"/>
      <c r="O49" s="225"/>
      <c r="P49" s="225"/>
      <c r="Q49" s="225"/>
      <c r="R49" s="225"/>
      <c r="S49" s="225"/>
      <c r="T49" s="225"/>
      <c r="U49" s="225"/>
      <c r="V49" s="225"/>
      <c r="W49" s="225"/>
      <c r="X49" s="225"/>
      <c r="Y49" s="225"/>
      <c r="Z49" s="56"/>
      <c r="AA49" s="56"/>
      <c r="AB49" s="56"/>
      <c r="AC49" s="56"/>
      <c r="AD49" s="11"/>
    </row>
    <row r="50" spans="1:30" x14ac:dyDescent="0.25">
      <c r="A50" s="16"/>
      <c r="B50" s="115" t="s">
        <v>39</v>
      </c>
      <c r="C50" s="233"/>
      <c r="D50" s="233"/>
      <c r="E50" s="233"/>
      <c r="F50" s="114">
        <v>0.5</v>
      </c>
      <c r="G50" s="13" t="s">
        <v>183</v>
      </c>
      <c r="H50" s="233"/>
      <c r="I50" s="233"/>
      <c r="J50" s="222" t="s">
        <v>185</v>
      </c>
      <c r="K50" s="223"/>
      <c r="L50" s="14"/>
      <c r="M50" s="38" t="s">
        <v>186</v>
      </c>
      <c r="N50" s="117"/>
      <c r="O50" s="117"/>
      <c r="P50" s="117"/>
      <c r="Q50" s="117"/>
      <c r="R50" s="117"/>
      <c r="S50" s="117"/>
      <c r="T50" s="14"/>
      <c r="U50" s="14"/>
      <c r="V50" s="14"/>
      <c r="W50" s="14"/>
      <c r="X50" s="14"/>
      <c r="Y50" s="14"/>
      <c r="Z50" s="56"/>
      <c r="AA50" s="56"/>
      <c r="AB50" s="56"/>
      <c r="AC50" s="56"/>
      <c r="AD50" s="11"/>
    </row>
    <row r="51" spans="1:30" x14ac:dyDescent="0.25">
      <c r="A51" s="14"/>
      <c r="B51" s="116" t="s">
        <v>40</v>
      </c>
      <c r="C51" s="233"/>
      <c r="D51" s="233"/>
      <c r="E51" s="233"/>
      <c r="F51" s="114">
        <v>0.5</v>
      </c>
      <c r="G51" s="15" t="s">
        <v>184</v>
      </c>
      <c r="H51" s="234"/>
      <c r="I51" s="234"/>
      <c r="J51" s="222" t="s">
        <v>185</v>
      </c>
      <c r="K51" s="223"/>
      <c r="L51" s="14"/>
      <c r="M51" s="226"/>
      <c r="N51" s="226"/>
      <c r="O51" s="226"/>
      <c r="P51" s="226"/>
      <c r="Q51" s="226"/>
      <c r="R51" s="226"/>
      <c r="S51" s="226"/>
      <c r="T51" s="226"/>
      <c r="U51" s="226"/>
      <c r="V51" s="226"/>
      <c r="W51" s="226"/>
      <c r="X51" s="226"/>
      <c r="Y51" s="226"/>
      <c r="Z51" s="56"/>
      <c r="AA51" s="56"/>
      <c r="AB51" s="56"/>
      <c r="AC51" s="56"/>
      <c r="AD51" s="11"/>
    </row>
    <row r="52" spans="1:30" ht="15.75" thickBot="1" x14ac:dyDescent="0.3">
      <c r="A52" s="16"/>
      <c r="B52" s="17"/>
      <c r="C52" s="80"/>
      <c r="D52" s="81"/>
      <c r="E52" s="113"/>
      <c r="F52" s="113"/>
      <c r="G52" s="113"/>
      <c r="H52" s="82"/>
      <c r="I52" s="83"/>
      <c r="J52" s="83"/>
      <c r="K52" s="84"/>
      <c r="L52" s="14"/>
      <c r="M52" s="226"/>
      <c r="N52" s="226"/>
      <c r="O52" s="226"/>
      <c r="P52" s="226"/>
      <c r="Q52" s="226"/>
      <c r="R52" s="226"/>
      <c r="S52" s="226"/>
      <c r="T52" s="226"/>
      <c r="U52" s="226"/>
      <c r="V52" s="226"/>
      <c r="W52" s="226"/>
      <c r="X52" s="226"/>
      <c r="Y52" s="226"/>
      <c r="Z52" s="56"/>
      <c r="AA52" s="56"/>
      <c r="AB52" s="56"/>
      <c r="AC52" s="56"/>
      <c r="AD52" s="11"/>
    </row>
    <row r="53" spans="1:30" ht="15.75" thickBot="1" x14ac:dyDescent="0.3">
      <c r="A53" s="16"/>
      <c r="B53" s="16"/>
      <c r="C53" s="16"/>
      <c r="D53" s="16"/>
      <c r="E53" s="16"/>
      <c r="F53" s="16"/>
      <c r="G53" s="16"/>
      <c r="H53" s="16"/>
      <c r="I53" s="16"/>
      <c r="J53" s="16"/>
      <c r="K53" s="16"/>
      <c r="L53" s="16"/>
      <c r="M53" s="112" t="s">
        <v>208</v>
      </c>
      <c r="N53" s="112"/>
      <c r="O53" s="112"/>
      <c r="P53" s="112"/>
      <c r="Q53" s="112"/>
      <c r="R53" s="30"/>
      <c r="S53" s="30"/>
      <c r="T53" s="30"/>
      <c r="U53" s="30"/>
      <c r="V53" s="30"/>
      <c r="W53" s="30"/>
      <c r="X53" s="30"/>
      <c r="Y53" s="30"/>
      <c r="Z53" s="16"/>
      <c r="AA53" s="16"/>
      <c r="AB53" s="16"/>
      <c r="AC53" s="16"/>
      <c r="AD53" s="11"/>
    </row>
    <row r="54" spans="1:30" ht="31.5" customHeight="1" thickBot="1" x14ac:dyDescent="0.3">
      <c r="A54" s="40"/>
      <c r="B54" s="284" t="s">
        <v>569</v>
      </c>
      <c r="C54" s="231"/>
      <c r="D54" s="231"/>
      <c r="E54" s="231"/>
      <c r="F54" s="231"/>
      <c r="G54" s="231"/>
      <c r="H54" s="231"/>
      <c r="I54" s="231"/>
      <c r="J54" s="231"/>
      <c r="K54" s="231"/>
      <c r="L54" s="231"/>
      <c r="M54" s="231"/>
      <c r="N54" s="231"/>
      <c r="O54" s="231"/>
      <c r="P54" s="231"/>
      <c r="Q54" s="231"/>
      <c r="R54" s="231"/>
      <c r="S54" s="231"/>
      <c r="T54" s="231"/>
      <c r="U54" s="231"/>
      <c r="V54" s="231"/>
      <c r="W54" s="231"/>
      <c r="X54" s="231"/>
      <c r="Y54" s="231"/>
      <c r="Z54" s="231"/>
      <c r="AA54" s="231"/>
      <c r="AB54" s="231"/>
      <c r="AC54" s="232"/>
      <c r="AD54" s="40"/>
    </row>
    <row r="55" spans="1:30" x14ac:dyDescent="0.25">
      <c r="A55" s="40"/>
      <c r="AD55" s="40"/>
    </row>
  </sheetData>
  <sheetProtection algorithmName="SHA-512" hashValue="vrWVAlX/OoL6inJxYvUeAgw5DYd3mMOPNZwYHiExGtOf/ZmmQkTgFShv6GKglwjVB8jb2m+G3aHzGWSpKhCfrA==" saltValue="0xpDGcuIn01E540GtdOIww==" spinCount="100000" sheet="1" selectLockedCells="1"/>
  <mergeCells count="60">
    <mergeCell ref="W16:W25"/>
    <mergeCell ref="Q42:R42"/>
    <mergeCell ref="B5:B14"/>
    <mergeCell ref="I5:I14"/>
    <mergeCell ref="B16:B25"/>
    <mergeCell ref="I16:I25"/>
    <mergeCell ref="C42:H42"/>
    <mergeCell ref="J41:K41"/>
    <mergeCell ref="B27:B36"/>
    <mergeCell ref="I27:I36"/>
    <mergeCell ref="J39:K39"/>
    <mergeCell ref="C40:E40"/>
    <mergeCell ref="C41:G41"/>
    <mergeCell ref="J2:K2"/>
    <mergeCell ref="D2:I2"/>
    <mergeCell ref="P1:T1"/>
    <mergeCell ref="M1:O1"/>
    <mergeCell ref="B2:C2"/>
    <mergeCell ref="B1:C1"/>
    <mergeCell ref="D1:L1"/>
    <mergeCell ref="AA1:AB1"/>
    <mergeCell ref="AC1:AD1"/>
    <mergeCell ref="V1:W1"/>
    <mergeCell ref="X1:Y1"/>
    <mergeCell ref="M46:AC47"/>
    <mergeCell ref="U2:W2"/>
    <mergeCell ref="W43:Y44"/>
    <mergeCell ref="Z43:AA44"/>
    <mergeCell ref="W5:W14"/>
    <mergeCell ref="W27:W36"/>
    <mergeCell ref="W38:W41"/>
    <mergeCell ref="M43:N43"/>
    <mergeCell ref="O43:P43"/>
    <mergeCell ref="M2:N2"/>
    <mergeCell ref="P5:P14"/>
    <mergeCell ref="Q41:R41"/>
    <mergeCell ref="B54:AC54"/>
    <mergeCell ref="J50:K50"/>
    <mergeCell ref="C51:E51"/>
    <mergeCell ref="H51:I51"/>
    <mergeCell ref="J51:K51"/>
    <mergeCell ref="M51:Y52"/>
    <mergeCell ref="C50:E50"/>
    <mergeCell ref="H50:I50"/>
    <mergeCell ref="B47:K47"/>
    <mergeCell ref="B48:K49"/>
    <mergeCell ref="X2:Y2"/>
    <mergeCell ref="AB43:AB44"/>
    <mergeCell ref="M44:R45"/>
    <mergeCell ref="M40:R40"/>
    <mergeCell ref="M41:N42"/>
    <mergeCell ref="O41:P42"/>
    <mergeCell ref="P16:P25"/>
    <mergeCell ref="Q43:R43"/>
    <mergeCell ref="M48:Y49"/>
    <mergeCell ref="P27:P36"/>
    <mergeCell ref="O2:T2"/>
    <mergeCell ref="X45:AA45"/>
    <mergeCell ref="J40:K40"/>
    <mergeCell ref="C39:D39"/>
  </mergeCells>
  <conditionalFormatting sqref="Z43">
    <cfRule type="cellIs" dxfId="1683" priority="6916" operator="lessThan">
      <formula>$X$2</formula>
    </cfRule>
    <cfRule type="cellIs" dxfId="1682" priority="6917" operator="greaterThan">
      <formula>$X$2</formula>
    </cfRule>
  </conditionalFormatting>
  <conditionalFormatting sqref="D1:L1">
    <cfRule type="containsBlanks" dxfId="1681" priority="5548">
      <formula>LEN(TRIM(D1))=0</formula>
    </cfRule>
  </conditionalFormatting>
  <conditionalFormatting sqref="P1:T1">
    <cfRule type="containsBlanks" dxfId="1680" priority="5547">
      <formula>LEN(TRIM(P1))=0</formula>
    </cfRule>
  </conditionalFormatting>
  <conditionalFormatting sqref="D2">
    <cfRule type="containsBlanks" dxfId="1679" priority="5546">
      <formula>LEN(TRIM(D2))=0</formula>
    </cfRule>
  </conditionalFormatting>
  <conditionalFormatting sqref="L2">
    <cfRule type="containsBlanks" dxfId="1678" priority="5545">
      <formula>LEN(TRIM(L2))=0</formula>
    </cfRule>
  </conditionalFormatting>
  <conditionalFormatting sqref="O2">
    <cfRule type="containsBlanks" dxfId="1677" priority="5544">
      <formula>LEN(TRIM(O2))=0</formula>
    </cfRule>
  </conditionalFormatting>
  <conditionalFormatting sqref="X1:Y1">
    <cfRule type="containsBlanks" dxfId="1676" priority="5543">
      <formula>LEN(TRIM(X1))=0</formula>
    </cfRule>
  </conditionalFormatting>
  <conditionalFormatting sqref="C50:E51 H50:I51">
    <cfRule type="containsBlanks" dxfId="1675" priority="5542">
      <formula>LEN(TRIM(C50))=0</formula>
    </cfRule>
  </conditionalFormatting>
  <conditionalFormatting sqref="M41">
    <cfRule type="cellIs" dxfId="1674" priority="4176" operator="greaterThan">
      <formula>0</formula>
    </cfRule>
  </conditionalFormatting>
  <conditionalFormatting sqref="Y38:AB38">
    <cfRule type="cellIs" dxfId="1673" priority="1481" operator="greaterThanOrEqual">
      <formula>6</formula>
    </cfRule>
    <cfRule type="cellIs" dxfId="1672" priority="1482" operator="between">
      <formula>0.1</formula>
      <formula>5.9</formula>
    </cfRule>
    <cfRule type="expression" dxfId="1671" priority="1485">
      <formula>Y39=""</formula>
    </cfRule>
  </conditionalFormatting>
  <conditionalFormatting sqref="X38">
    <cfRule type="cellIs" dxfId="1670" priority="1470" operator="greaterThanOrEqual">
      <formula>6</formula>
    </cfRule>
    <cfRule type="cellIs" dxfId="1669" priority="1471" operator="between">
      <formula>0.1</formula>
      <formula>5.9</formula>
    </cfRule>
    <cfRule type="expression" dxfId="1668" priority="1474">
      <formula>X39=""</formula>
    </cfRule>
  </conditionalFormatting>
  <conditionalFormatting sqref="Y40:AB40">
    <cfRule type="cellIs" dxfId="1667" priority="1454" operator="greaterThanOrEqual">
      <formula>6</formula>
    </cfRule>
    <cfRule type="cellIs" dxfId="1666" priority="1455" operator="between">
      <formula>0.1</formula>
      <formula>5.9</formula>
    </cfRule>
    <cfRule type="expression" dxfId="1665" priority="1458">
      <formula>Y41=""</formula>
    </cfRule>
  </conditionalFormatting>
  <conditionalFormatting sqref="X40">
    <cfRule type="cellIs" dxfId="1664" priority="1448" operator="greaterThanOrEqual">
      <formula>6</formula>
    </cfRule>
    <cfRule type="cellIs" dxfId="1663" priority="1449" operator="between">
      <formula>0.1</formula>
      <formula>5.9</formula>
    </cfRule>
    <cfRule type="expression" dxfId="1662" priority="1452">
      <formula>X41=""</formula>
    </cfRule>
  </conditionalFormatting>
  <conditionalFormatting sqref="C5">
    <cfRule type="cellIs" dxfId="1661" priority="1443" operator="greaterThanOrEqual">
      <formula>6</formula>
    </cfRule>
    <cfRule type="cellIs" dxfId="1660" priority="1444" operator="between">
      <formula>0.1</formula>
      <formula>5.9</formula>
    </cfRule>
    <cfRule type="expression" dxfId="1659" priority="1446">
      <formula>C6=""</formula>
    </cfRule>
  </conditionalFormatting>
  <conditionalFormatting sqref="D5:G5">
    <cfRule type="cellIs" dxfId="1658" priority="1431" operator="greaterThanOrEqual">
      <formula>6</formula>
    </cfRule>
    <cfRule type="cellIs" dxfId="1657" priority="1432" operator="between">
      <formula>0.1</formula>
      <formula>5.9</formula>
    </cfRule>
    <cfRule type="expression" dxfId="1656" priority="1434">
      <formula>D6=""</formula>
    </cfRule>
  </conditionalFormatting>
  <conditionalFormatting sqref="C7">
    <cfRule type="cellIs" dxfId="1655" priority="1424" operator="greaterThanOrEqual">
      <formula>6</formula>
    </cfRule>
    <cfRule type="cellIs" dxfId="1654" priority="1425" operator="between">
      <formula>0.1</formula>
      <formula>5.9</formula>
    </cfRule>
    <cfRule type="expression" dxfId="1653" priority="1427">
      <formula>C8=""</formula>
    </cfRule>
  </conditionalFormatting>
  <conditionalFormatting sqref="D7:G7">
    <cfRule type="cellIs" dxfId="1652" priority="1417" operator="greaterThanOrEqual">
      <formula>6</formula>
    </cfRule>
    <cfRule type="cellIs" dxfId="1651" priority="1418" operator="between">
      <formula>0.1</formula>
      <formula>5.9</formula>
    </cfRule>
    <cfRule type="expression" dxfId="1650" priority="1420">
      <formula>D8=""</formula>
    </cfRule>
  </conditionalFormatting>
  <conditionalFormatting sqref="C9">
    <cfRule type="cellIs" dxfId="1649" priority="1410" operator="greaterThanOrEqual">
      <formula>6</formula>
    </cfRule>
    <cfRule type="cellIs" dxfId="1648" priority="1411" operator="between">
      <formula>0.1</formula>
      <formula>5.9</formula>
    </cfRule>
    <cfRule type="expression" dxfId="1647" priority="1413">
      <formula>C10=""</formula>
    </cfRule>
  </conditionalFormatting>
  <conditionalFormatting sqref="D9:G9">
    <cfRule type="cellIs" dxfId="1646" priority="1403" operator="greaterThanOrEqual">
      <formula>6</formula>
    </cfRule>
    <cfRule type="cellIs" dxfId="1645" priority="1404" operator="between">
      <formula>0.1</formula>
      <formula>5.9</formula>
    </cfRule>
    <cfRule type="expression" dxfId="1644" priority="1406">
      <formula>D10=""</formula>
    </cfRule>
  </conditionalFormatting>
  <conditionalFormatting sqref="C11">
    <cfRule type="cellIs" dxfId="1643" priority="1396" operator="greaterThanOrEqual">
      <formula>6</formula>
    </cfRule>
    <cfRule type="cellIs" dxfId="1642" priority="1397" operator="between">
      <formula>0.1</formula>
      <formula>5.9</formula>
    </cfRule>
    <cfRule type="expression" dxfId="1641" priority="1399">
      <formula>C12=""</formula>
    </cfRule>
  </conditionalFormatting>
  <conditionalFormatting sqref="D11:G11">
    <cfRule type="cellIs" dxfId="1640" priority="1389" operator="greaterThanOrEqual">
      <formula>6</formula>
    </cfRule>
    <cfRule type="cellIs" dxfId="1639" priority="1390" operator="between">
      <formula>0.1</formula>
      <formula>5.9</formula>
    </cfRule>
    <cfRule type="expression" dxfId="1638" priority="1392">
      <formula>D12=""</formula>
    </cfRule>
  </conditionalFormatting>
  <conditionalFormatting sqref="C13">
    <cfRule type="cellIs" dxfId="1637" priority="1382" operator="greaterThanOrEqual">
      <formula>6</formula>
    </cfRule>
    <cfRule type="cellIs" dxfId="1636" priority="1383" operator="between">
      <formula>0.1</formula>
      <formula>5.9</formula>
    </cfRule>
    <cfRule type="expression" dxfId="1635" priority="1385">
      <formula>C14=""</formula>
    </cfRule>
  </conditionalFormatting>
  <conditionalFormatting sqref="D13:G13">
    <cfRule type="cellIs" dxfId="1634" priority="1375" operator="greaterThanOrEqual">
      <formula>6</formula>
    </cfRule>
    <cfRule type="cellIs" dxfId="1633" priority="1376" operator="between">
      <formula>0.1</formula>
      <formula>5.9</formula>
    </cfRule>
    <cfRule type="expression" dxfId="1632" priority="1378">
      <formula>D14=""</formula>
    </cfRule>
  </conditionalFormatting>
  <conditionalFormatting sqref="J5">
    <cfRule type="cellIs" dxfId="1631" priority="1323" operator="greaterThanOrEqual">
      <formula>6</formula>
    </cfRule>
    <cfRule type="cellIs" dxfId="1630" priority="1324" operator="between">
      <formula>0.1</formula>
      <formula>5.9</formula>
    </cfRule>
    <cfRule type="expression" dxfId="1629" priority="1326">
      <formula>J6=""</formula>
    </cfRule>
  </conditionalFormatting>
  <conditionalFormatting sqref="K5:N5">
    <cfRule type="cellIs" dxfId="1628" priority="1311" operator="greaterThanOrEqual">
      <formula>6</formula>
    </cfRule>
    <cfRule type="cellIs" dxfId="1627" priority="1312" operator="between">
      <formula>0.1</formula>
      <formula>5.9</formula>
    </cfRule>
    <cfRule type="expression" dxfId="1626" priority="1314">
      <formula>K6=""</formula>
    </cfRule>
  </conditionalFormatting>
  <conditionalFormatting sqref="J7">
    <cfRule type="cellIs" dxfId="1625" priority="1304" operator="greaterThanOrEqual">
      <formula>6</formula>
    </cfRule>
    <cfRule type="cellIs" dxfId="1624" priority="1305" operator="between">
      <formula>0.1</formula>
      <formula>5.9</formula>
    </cfRule>
    <cfRule type="expression" dxfId="1623" priority="1307">
      <formula>J8=""</formula>
    </cfRule>
  </conditionalFormatting>
  <conditionalFormatting sqref="K7:N7">
    <cfRule type="cellIs" dxfId="1622" priority="1297" operator="greaterThanOrEqual">
      <formula>6</formula>
    </cfRule>
    <cfRule type="cellIs" dxfId="1621" priority="1298" operator="between">
      <formula>0.1</formula>
      <formula>5.9</formula>
    </cfRule>
    <cfRule type="expression" dxfId="1620" priority="1300">
      <formula>K8=""</formula>
    </cfRule>
  </conditionalFormatting>
  <conditionalFormatting sqref="J9">
    <cfRule type="cellIs" dxfId="1619" priority="1290" operator="greaterThanOrEqual">
      <formula>6</formula>
    </cfRule>
    <cfRule type="cellIs" dxfId="1618" priority="1291" operator="between">
      <formula>0.1</formula>
      <formula>5.9</formula>
    </cfRule>
    <cfRule type="expression" dxfId="1617" priority="1293">
      <formula>J10=""</formula>
    </cfRule>
  </conditionalFormatting>
  <conditionalFormatting sqref="K9:N9">
    <cfRule type="cellIs" dxfId="1616" priority="1283" operator="greaterThanOrEqual">
      <formula>6</formula>
    </cfRule>
    <cfRule type="cellIs" dxfId="1615" priority="1284" operator="between">
      <formula>0.1</formula>
      <formula>5.9</formula>
    </cfRule>
    <cfRule type="expression" dxfId="1614" priority="1286">
      <formula>K10=""</formula>
    </cfRule>
  </conditionalFormatting>
  <conditionalFormatting sqref="J11">
    <cfRule type="cellIs" dxfId="1613" priority="1276" operator="greaterThanOrEqual">
      <formula>6</formula>
    </cfRule>
    <cfRule type="cellIs" dxfId="1612" priority="1277" operator="between">
      <formula>0.1</formula>
      <formula>5.9</formula>
    </cfRule>
    <cfRule type="expression" dxfId="1611" priority="1279">
      <formula>J12=""</formula>
    </cfRule>
  </conditionalFormatting>
  <conditionalFormatting sqref="K11:N11">
    <cfRule type="cellIs" dxfId="1610" priority="1269" operator="greaterThanOrEqual">
      <formula>6</formula>
    </cfRule>
    <cfRule type="cellIs" dxfId="1609" priority="1270" operator="between">
      <formula>0.1</formula>
      <formula>5.9</formula>
    </cfRule>
    <cfRule type="expression" dxfId="1608" priority="1272">
      <formula>K12=""</formula>
    </cfRule>
  </conditionalFormatting>
  <conditionalFormatting sqref="J13">
    <cfRule type="cellIs" dxfId="1607" priority="1262" operator="greaterThanOrEqual">
      <formula>6</formula>
    </cfRule>
    <cfRule type="cellIs" dxfId="1606" priority="1263" operator="between">
      <formula>0.1</formula>
      <formula>5.9</formula>
    </cfRule>
    <cfRule type="expression" dxfId="1605" priority="1265">
      <formula>J14=""</formula>
    </cfRule>
  </conditionalFormatting>
  <conditionalFormatting sqref="K13:N13">
    <cfRule type="cellIs" dxfId="1604" priority="1255" operator="greaterThanOrEqual">
      <formula>6</formula>
    </cfRule>
    <cfRule type="cellIs" dxfId="1603" priority="1256" operator="between">
      <formula>0.1</formula>
      <formula>5.9</formula>
    </cfRule>
    <cfRule type="expression" dxfId="1602" priority="1258">
      <formula>K14=""</formula>
    </cfRule>
  </conditionalFormatting>
  <conditionalFormatting sqref="Q5">
    <cfRule type="cellIs" dxfId="1601" priority="1203" operator="greaterThanOrEqual">
      <formula>6</formula>
    </cfRule>
    <cfRule type="cellIs" dxfId="1600" priority="1204" operator="between">
      <formula>0.1</formula>
      <formula>5.9</formula>
    </cfRule>
    <cfRule type="expression" dxfId="1599" priority="1206">
      <formula>Q6=""</formula>
    </cfRule>
  </conditionalFormatting>
  <conditionalFormatting sqref="R5:U5">
    <cfRule type="cellIs" dxfId="1598" priority="1191" operator="greaterThanOrEqual">
      <formula>6</formula>
    </cfRule>
    <cfRule type="cellIs" dxfId="1597" priority="1192" operator="between">
      <formula>0.1</formula>
      <formula>5.9</formula>
    </cfRule>
    <cfRule type="expression" dxfId="1596" priority="1194">
      <formula>R6=""</formula>
    </cfRule>
  </conditionalFormatting>
  <conditionalFormatting sqref="Q7">
    <cfRule type="cellIs" dxfId="1595" priority="1184" operator="greaterThanOrEqual">
      <formula>6</formula>
    </cfRule>
    <cfRule type="cellIs" dxfId="1594" priority="1185" operator="between">
      <formula>0.1</formula>
      <formula>5.9</formula>
    </cfRule>
    <cfRule type="expression" dxfId="1593" priority="1187">
      <formula>Q8=""</formula>
    </cfRule>
  </conditionalFormatting>
  <conditionalFormatting sqref="R7:U7">
    <cfRule type="cellIs" dxfId="1592" priority="1177" operator="greaterThanOrEqual">
      <formula>6</formula>
    </cfRule>
    <cfRule type="cellIs" dxfId="1591" priority="1178" operator="between">
      <formula>0.1</formula>
      <formula>5.9</formula>
    </cfRule>
    <cfRule type="expression" dxfId="1590" priority="1180">
      <formula>R8=""</formula>
    </cfRule>
  </conditionalFormatting>
  <conditionalFormatting sqref="Q9">
    <cfRule type="cellIs" dxfId="1589" priority="1170" operator="greaterThanOrEqual">
      <formula>6</formula>
    </cfRule>
    <cfRule type="cellIs" dxfId="1588" priority="1171" operator="between">
      <formula>0.1</formula>
      <formula>5.9</formula>
    </cfRule>
    <cfRule type="expression" dxfId="1587" priority="1173">
      <formula>Q10=""</formula>
    </cfRule>
  </conditionalFormatting>
  <conditionalFormatting sqref="R9:U9">
    <cfRule type="cellIs" dxfId="1586" priority="1163" operator="greaterThanOrEqual">
      <formula>6</formula>
    </cfRule>
    <cfRule type="cellIs" dxfId="1585" priority="1164" operator="between">
      <formula>0.1</formula>
      <formula>5.9</formula>
    </cfRule>
    <cfRule type="expression" dxfId="1584" priority="1166">
      <formula>R10=""</formula>
    </cfRule>
  </conditionalFormatting>
  <conditionalFormatting sqref="Q11">
    <cfRule type="cellIs" dxfId="1583" priority="1156" operator="greaterThanOrEqual">
      <formula>6</formula>
    </cfRule>
    <cfRule type="cellIs" dxfId="1582" priority="1157" operator="between">
      <formula>0.1</formula>
      <formula>5.9</formula>
    </cfRule>
    <cfRule type="expression" dxfId="1581" priority="1159">
      <formula>Q12=""</formula>
    </cfRule>
  </conditionalFormatting>
  <conditionalFormatting sqref="R11:U11">
    <cfRule type="cellIs" dxfId="1580" priority="1149" operator="greaterThanOrEqual">
      <formula>6</formula>
    </cfRule>
    <cfRule type="cellIs" dxfId="1579" priority="1150" operator="between">
      <formula>0.1</formula>
      <formula>5.9</formula>
    </cfRule>
    <cfRule type="expression" dxfId="1578" priority="1152">
      <formula>R12=""</formula>
    </cfRule>
  </conditionalFormatting>
  <conditionalFormatting sqref="Q13">
    <cfRule type="cellIs" dxfId="1577" priority="1142" operator="greaterThanOrEqual">
      <formula>6</formula>
    </cfRule>
    <cfRule type="cellIs" dxfId="1576" priority="1143" operator="between">
      <formula>0.1</formula>
      <formula>5.9</formula>
    </cfRule>
    <cfRule type="expression" dxfId="1575" priority="1145">
      <formula>Q14=""</formula>
    </cfRule>
  </conditionalFormatting>
  <conditionalFormatting sqref="R13:U13">
    <cfRule type="cellIs" dxfId="1574" priority="1135" operator="greaterThanOrEqual">
      <formula>6</formula>
    </cfRule>
    <cfRule type="cellIs" dxfId="1573" priority="1136" operator="between">
      <formula>0.1</formula>
      <formula>5.9</formula>
    </cfRule>
    <cfRule type="expression" dxfId="1572" priority="1138">
      <formula>R14=""</formula>
    </cfRule>
  </conditionalFormatting>
  <conditionalFormatting sqref="X5">
    <cfRule type="cellIs" dxfId="1571" priority="1083" operator="greaterThanOrEqual">
      <formula>6</formula>
    </cfRule>
    <cfRule type="cellIs" dxfId="1570" priority="1084" operator="between">
      <formula>0.1</formula>
      <formula>5.9</formula>
    </cfRule>
    <cfRule type="expression" dxfId="1569" priority="1086">
      <formula>X6=""</formula>
    </cfRule>
  </conditionalFormatting>
  <conditionalFormatting sqref="Y5:AB5">
    <cfRule type="cellIs" dxfId="1568" priority="1071" operator="greaterThanOrEqual">
      <formula>6</formula>
    </cfRule>
    <cfRule type="cellIs" dxfId="1567" priority="1072" operator="between">
      <formula>0.1</formula>
      <formula>5.9</formula>
    </cfRule>
    <cfRule type="expression" dxfId="1566" priority="1074">
      <formula>Y6=""</formula>
    </cfRule>
  </conditionalFormatting>
  <conditionalFormatting sqref="X7">
    <cfRule type="cellIs" dxfId="1565" priority="1064" operator="greaterThanOrEqual">
      <formula>6</formula>
    </cfRule>
    <cfRule type="cellIs" dxfId="1564" priority="1065" operator="between">
      <formula>0.1</formula>
      <formula>5.9</formula>
    </cfRule>
    <cfRule type="expression" dxfId="1563" priority="1067">
      <formula>X8=""</formula>
    </cfRule>
  </conditionalFormatting>
  <conditionalFormatting sqref="Y7:AB7">
    <cfRule type="cellIs" dxfId="1562" priority="1057" operator="greaterThanOrEqual">
      <formula>6</formula>
    </cfRule>
    <cfRule type="cellIs" dxfId="1561" priority="1058" operator="between">
      <formula>0.1</formula>
      <formula>5.9</formula>
    </cfRule>
    <cfRule type="expression" dxfId="1560" priority="1060">
      <formula>Y8=""</formula>
    </cfRule>
  </conditionalFormatting>
  <conditionalFormatting sqref="X9">
    <cfRule type="cellIs" dxfId="1559" priority="1050" operator="greaterThanOrEqual">
      <formula>6</formula>
    </cfRule>
    <cfRule type="cellIs" dxfId="1558" priority="1051" operator="between">
      <formula>0.1</formula>
      <formula>5.9</formula>
    </cfRule>
    <cfRule type="expression" dxfId="1557" priority="1053">
      <formula>X10=""</formula>
    </cfRule>
  </conditionalFormatting>
  <conditionalFormatting sqref="Y9:AB9">
    <cfRule type="cellIs" dxfId="1556" priority="1043" operator="greaterThanOrEqual">
      <formula>6</formula>
    </cfRule>
    <cfRule type="cellIs" dxfId="1555" priority="1044" operator="between">
      <formula>0.1</formula>
      <formula>5.9</formula>
    </cfRule>
    <cfRule type="expression" dxfId="1554" priority="1046">
      <formula>Y10=""</formula>
    </cfRule>
  </conditionalFormatting>
  <conditionalFormatting sqref="X11">
    <cfRule type="cellIs" dxfId="1553" priority="1036" operator="greaterThanOrEqual">
      <formula>6</formula>
    </cfRule>
    <cfRule type="cellIs" dxfId="1552" priority="1037" operator="between">
      <formula>0.1</formula>
      <formula>5.9</formula>
    </cfRule>
    <cfRule type="expression" dxfId="1551" priority="1039">
      <formula>X12=""</formula>
    </cfRule>
  </conditionalFormatting>
  <conditionalFormatting sqref="Y11:AB11">
    <cfRule type="cellIs" dxfId="1550" priority="1029" operator="greaterThanOrEqual">
      <formula>6</formula>
    </cfRule>
    <cfRule type="cellIs" dxfId="1549" priority="1030" operator="between">
      <formula>0.1</formula>
      <formula>5.9</formula>
    </cfRule>
    <cfRule type="expression" dxfId="1548" priority="1032">
      <formula>Y12=""</formula>
    </cfRule>
  </conditionalFormatting>
  <conditionalFormatting sqref="X13">
    <cfRule type="cellIs" dxfId="1547" priority="1022" operator="greaterThanOrEqual">
      <formula>6</formula>
    </cfRule>
    <cfRule type="cellIs" dxfId="1546" priority="1023" operator="between">
      <formula>0.1</formula>
      <formula>5.9</formula>
    </cfRule>
    <cfRule type="expression" dxfId="1545" priority="1025">
      <formula>X14=""</formula>
    </cfRule>
  </conditionalFormatting>
  <conditionalFormatting sqref="Y13:AB13">
    <cfRule type="cellIs" dxfId="1544" priority="1015" operator="greaterThanOrEqual">
      <formula>6</formula>
    </cfRule>
    <cfRule type="cellIs" dxfId="1543" priority="1016" operator="between">
      <formula>0.1</formula>
      <formula>5.9</formula>
    </cfRule>
    <cfRule type="expression" dxfId="1542" priority="1018">
      <formula>Y14=""</formula>
    </cfRule>
  </conditionalFormatting>
  <conditionalFormatting sqref="C16">
    <cfRule type="cellIs" dxfId="1541" priority="963" operator="greaterThanOrEqual">
      <formula>6</formula>
    </cfRule>
    <cfRule type="cellIs" dxfId="1540" priority="964" operator="between">
      <formula>0.1</formula>
      <formula>5.9</formula>
    </cfRule>
    <cfRule type="expression" dxfId="1539" priority="966">
      <formula>C17=""</formula>
    </cfRule>
  </conditionalFormatting>
  <conditionalFormatting sqref="D16:G16">
    <cfRule type="cellIs" dxfId="1538" priority="951" operator="greaterThanOrEqual">
      <formula>6</formula>
    </cfRule>
    <cfRule type="cellIs" dxfId="1537" priority="952" operator="between">
      <formula>0.1</formula>
      <formula>5.9</formula>
    </cfRule>
    <cfRule type="expression" dxfId="1536" priority="954">
      <formula>D17=""</formula>
    </cfRule>
  </conditionalFormatting>
  <conditionalFormatting sqref="C18">
    <cfRule type="cellIs" dxfId="1535" priority="944" operator="greaterThanOrEqual">
      <formula>6</formula>
    </cfRule>
    <cfRule type="cellIs" dxfId="1534" priority="945" operator="between">
      <formula>0.1</formula>
      <formula>5.9</formula>
    </cfRule>
    <cfRule type="expression" dxfId="1533" priority="947">
      <formula>C19=""</formula>
    </cfRule>
  </conditionalFormatting>
  <conditionalFormatting sqref="D18:G18">
    <cfRule type="cellIs" dxfId="1532" priority="937" operator="greaterThanOrEqual">
      <formula>6</formula>
    </cfRule>
    <cfRule type="cellIs" dxfId="1531" priority="938" operator="between">
      <formula>0.1</formula>
      <formula>5.9</formula>
    </cfRule>
    <cfRule type="expression" dxfId="1530" priority="940">
      <formula>D19=""</formula>
    </cfRule>
  </conditionalFormatting>
  <conditionalFormatting sqref="C20">
    <cfRule type="cellIs" dxfId="1529" priority="930" operator="greaterThanOrEqual">
      <formula>6</formula>
    </cfRule>
    <cfRule type="cellIs" dxfId="1528" priority="931" operator="between">
      <formula>0.1</formula>
      <formula>5.9</formula>
    </cfRule>
    <cfRule type="expression" dxfId="1527" priority="933">
      <formula>C21=""</formula>
    </cfRule>
  </conditionalFormatting>
  <conditionalFormatting sqref="D20:G20">
    <cfRule type="cellIs" dxfId="1526" priority="923" operator="greaterThanOrEqual">
      <formula>6</formula>
    </cfRule>
    <cfRule type="cellIs" dxfId="1525" priority="924" operator="between">
      <formula>0.1</formula>
      <formula>5.9</formula>
    </cfRule>
    <cfRule type="expression" dxfId="1524" priority="926">
      <formula>D21=""</formula>
    </cfRule>
  </conditionalFormatting>
  <conditionalFormatting sqref="C22">
    <cfRule type="cellIs" dxfId="1523" priority="916" operator="greaterThanOrEqual">
      <formula>6</formula>
    </cfRule>
    <cfRule type="cellIs" dxfId="1522" priority="917" operator="between">
      <formula>0.1</formula>
      <formula>5.9</formula>
    </cfRule>
    <cfRule type="expression" dxfId="1521" priority="919">
      <formula>C23=""</formula>
    </cfRule>
  </conditionalFormatting>
  <conditionalFormatting sqref="D22:G22">
    <cfRule type="cellIs" dxfId="1520" priority="909" operator="greaterThanOrEqual">
      <formula>6</formula>
    </cfRule>
    <cfRule type="cellIs" dxfId="1519" priority="910" operator="between">
      <formula>0.1</formula>
      <formula>5.9</formula>
    </cfRule>
    <cfRule type="expression" dxfId="1518" priority="912">
      <formula>D23=""</formula>
    </cfRule>
  </conditionalFormatting>
  <conditionalFormatting sqref="C24">
    <cfRule type="cellIs" dxfId="1517" priority="902" operator="greaterThanOrEqual">
      <formula>6</formula>
    </cfRule>
    <cfRule type="cellIs" dxfId="1516" priority="903" operator="between">
      <formula>0.1</formula>
      <formula>5.9</formula>
    </cfRule>
    <cfRule type="expression" dxfId="1515" priority="905">
      <formula>C25=""</formula>
    </cfRule>
  </conditionalFormatting>
  <conditionalFormatting sqref="D24:G24">
    <cfRule type="cellIs" dxfId="1514" priority="895" operator="greaterThanOrEqual">
      <formula>6</formula>
    </cfRule>
    <cfRule type="cellIs" dxfId="1513" priority="896" operator="between">
      <formula>0.1</formula>
      <formula>5.9</formula>
    </cfRule>
    <cfRule type="expression" dxfId="1512" priority="898">
      <formula>D25=""</formula>
    </cfRule>
  </conditionalFormatting>
  <conditionalFormatting sqref="J16">
    <cfRule type="cellIs" dxfId="1511" priority="843" operator="greaterThanOrEqual">
      <formula>6</formula>
    </cfRule>
    <cfRule type="cellIs" dxfId="1510" priority="844" operator="between">
      <formula>0.1</formula>
      <formula>5.9</formula>
    </cfRule>
    <cfRule type="expression" dxfId="1509" priority="846">
      <formula>J17=""</formula>
    </cfRule>
  </conditionalFormatting>
  <conditionalFormatting sqref="K16:N16">
    <cfRule type="cellIs" dxfId="1508" priority="831" operator="greaterThanOrEqual">
      <formula>6</formula>
    </cfRule>
    <cfRule type="cellIs" dxfId="1507" priority="832" operator="between">
      <formula>0.1</formula>
      <formula>5.9</formula>
    </cfRule>
    <cfRule type="expression" dxfId="1506" priority="834">
      <formula>K17=""</formula>
    </cfRule>
  </conditionalFormatting>
  <conditionalFormatting sqref="J18">
    <cfRule type="cellIs" dxfId="1505" priority="824" operator="greaterThanOrEqual">
      <formula>6</formula>
    </cfRule>
    <cfRule type="cellIs" dxfId="1504" priority="825" operator="between">
      <formula>0.1</formula>
      <formula>5.9</formula>
    </cfRule>
    <cfRule type="expression" dxfId="1503" priority="827">
      <formula>J19=""</formula>
    </cfRule>
  </conditionalFormatting>
  <conditionalFormatting sqref="K18:N18">
    <cfRule type="cellIs" dxfId="1502" priority="817" operator="greaterThanOrEqual">
      <formula>6</formula>
    </cfRule>
    <cfRule type="cellIs" dxfId="1501" priority="818" operator="between">
      <formula>0.1</formula>
      <formula>5.9</formula>
    </cfRule>
    <cfRule type="expression" dxfId="1500" priority="820">
      <formula>K19=""</formula>
    </cfRule>
  </conditionalFormatting>
  <conditionalFormatting sqref="J20">
    <cfRule type="cellIs" dxfId="1499" priority="810" operator="greaterThanOrEqual">
      <formula>6</formula>
    </cfRule>
    <cfRule type="cellIs" dxfId="1498" priority="811" operator="between">
      <formula>0.1</formula>
      <formula>5.9</formula>
    </cfRule>
    <cfRule type="expression" dxfId="1497" priority="813">
      <formula>J21=""</formula>
    </cfRule>
  </conditionalFormatting>
  <conditionalFormatting sqref="K20:N20">
    <cfRule type="cellIs" dxfId="1496" priority="803" operator="greaterThanOrEqual">
      <formula>6</formula>
    </cfRule>
    <cfRule type="cellIs" dxfId="1495" priority="804" operator="between">
      <formula>0.1</formula>
      <formula>5.9</formula>
    </cfRule>
    <cfRule type="expression" dxfId="1494" priority="806">
      <formula>K21=""</formula>
    </cfRule>
  </conditionalFormatting>
  <conditionalFormatting sqref="J22">
    <cfRule type="cellIs" dxfId="1493" priority="796" operator="greaterThanOrEqual">
      <formula>6</formula>
    </cfRule>
    <cfRule type="cellIs" dxfId="1492" priority="797" operator="between">
      <formula>0.1</formula>
      <formula>5.9</formula>
    </cfRule>
    <cfRule type="expression" dxfId="1491" priority="799">
      <formula>J23=""</formula>
    </cfRule>
  </conditionalFormatting>
  <conditionalFormatting sqref="K22:N22">
    <cfRule type="cellIs" dxfId="1490" priority="789" operator="greaterThanOrEqual">
      <formula>6</formula>
    </cfRule>
    <cfRule type="cellIs" dxfId="1489" priority="790" operator="between">
      <formula>0.1</formula>
      <formula>5.9</formula>
    </cfRule>
    <cfRule type="expression" dxfId="1488" priority="792">
      <formula>K23=""</formula>
    </cfRule>
  </conditionalFormatting>
  <conditionalFormatting sqref="J24">
    <cfRule type="cellIs" dxfId="1487" priority="782" operator="greaterThanOrEqual">
      <formula>6</formula>
    </cfRule>
    <cfRule type="cellIs" dxfId="1486" priority="783" operator="between">
      <formula>0.1</formula>
      <formula>5.9</formula>
    </cfRule>
    <cfRule type="expression" dxfId="1485" priority="785">
      <formula>J25=""</formula>
    </cfRule>
  </conditionalFormatting>
  <conditionalFormatting sqref="K24:N24">
    <cfRule type="cellIs" dxfId="1484" priority="775" operator="greaterThanOrEqual">
      <formula>6</formula>
    </cfRule>
    <cfRule type="cellIs" dxfId="1483" priority="776" operator="between">
      <formula>0.1</formula>
      <formula>5.9</formula>
    </cfRule>
    <cfRule type="expression" dxfId="1482" priority="778">
      <formula>K25=""</formula>
    </cfRule>
  </conditionalFormatting>
  <conditionalFormatting sqref="Q16">
    <cfRule type="cellIs" dxfId="1481" priority="723" operator="greaterThanOrEqual">
      <formula>6</formula>
    </cfRule>
    <cfRule type="cellIs" dxfId="1480" priority="724" operator="between">
      <formula>0.1</formula>
      <formula>5.9</formula>
    </cfRule>
    <cfRule type="expression" dxfId="1479" priority="726">
      <formula>Q17=""</formula>
    </cfRule>
  </conditionalFormatting>
  <conditionalFormatting sqref="R16:U16">
    <cfRule type="cellIs" dxfId="1478" priority="711" operator="greaterThanOrEqual">
      <formula>6</formula>
    </cfRule>
    <cfRule type="cellIs" dxfId="1477" priority="712" operator="between">
      <formula>0.1</formula>
      <formula>5.9</formula>
    </cfRule>
    <cfRule type="expression" dxfId="1476" priority="714">
      <formula>R17=""</formula>
    </cfRule>
  </conditionalFormatting>
  <conditionalFormatting sqref="Q18">
    <cfRule type="cellIs" dxfId="1475" priority="704" operator="greaterThanOrEqual">
      <formula>6</formula>
    </cfRule>
    <cfRule type="cellIs" dxfId="1474" priority="705" operator="between">
      <formula>0.1</formula>
      <formula>5.9</formula>
    </cfRule>
    <cfRule type="expression" dxfId="1473" priority="707">
      <formula>Q19=""</formula>
    </cfRule>
  </conditionalFormatting>
  <conditionalFormatting sqref="R18:U18">
    <cfRule type="cellIs" dxfId="1472" priority="697" operator="greaterThanOrEqual">
      <formula>6</formula>
    </cfRule>
    <cfRule type="cellIs" dxfId="1471" priority="698" operator="between">
      <formula>0.1</formula>
      <formula>5.9</formula>
    </cfRule>
    <cfRule type="expression" dxfId="1470" priority="700">
      <formula>R19=""</formula>
    </cfRule>
  </conditionalFormatting>
  <conditionalFormatting sqref="Q20">
    <cfRule type="cellIs" dxfId="1469" priority="690" operator="greaterThanOrEqual">
      <formula>6</formula>
    </cfRule>
    <cfRule type="cellIs" dxfId="1468" priority="691" operator="between">
      <formula>0.1</formula>
      <formula>5.9</formula>
    </cfRule>
    <cfRule type="expression" dxfId="1467" priority="693">
      <formula>Q21=""</formula>
    </cfRule>
  </conditionalFormatting>
  <conditionalFormatting sqref="R20:U20">
    <cfRule type="cellIs" dxfId="1466" priority="683" operator="greaterThanOrEqual">
      <formula>6</formula>
    </cfRule>
    <cfRule type="cellIs" dxfId="1465" priority="684" operator="between">
      <formula>0.1</formula>
      <formula>5.9</formula>
    </cfRule>
    <cfRule type="expression" dxfId="1464" priority="686">
      <formula>R21=""</formula>
    </cfRule>
  </conditionalFormatting>
  <conditionalFormatting sqref="Q22">
    <cfRule type="cellIs" dxfId="1463" priority="676" operator="greaterThanOrEqual">
      <formula>6</formula>
    </cfRule>
    <cfRule type="cellIs" dxfId="1462" priority="677" operator="between">
      <formula>0.1</formula>
      <formula>5.9</formula>
    </cfRule>
    <cfRule type="expression" dxfId="1461" priority="679">
      <formula>Q23=""</formula>
    </cfRule>
  </conditionalFormatting>
  <conditionalFormatting sqref="R22:U22">
    <cfRule type="cellIs" dxfId="1460" priority="669" operator="greaterThanOrEqual">
      <formula>6</formula>
    </cfRule>
    <cfRule type="cellIs" dxfId="1459" priority="670" operator="between">
      <formula>0.1</formula>
      <formula>5.9</formula>
    </cfRule>
    <cfRule type="expression" dxfId="1458" priority="672">
      <formula>R23=""</formula>
    </cfRule>
  </conditionalFormatting>
  <conditionalFormatting sqref="Q24">
    <cfRule type="cellIs" dxfId="1457" priority="662" operator="greaterThanOrEqual">
      <formula>6</formula>
    </cfRule>
    <cfRule type="cellIs" dxfId="1456" priority="663" operator="between">
      <formula>0.1</formula>
      <formula>5.9</formula>
    </cfRule>
    <cfRule type="expression" dxfId="1455" priority="665">
      <formula>Q25=""</formula>
    </cfRule>
  </conditionalFormatting>
  <conditionalFormatting sqref="R24:U24">
    <cfRule type="cellIs" dxfId="1454" priority="655" operator="greaterThanOrEqual">
      <formula>6</formula>
    </cfRule>
    <cfRule type="cellIs" dxfId="1453" priority="656" operator="between">
      <formula>0.1</formula>
      <formula>5.9</formula>
    </cfRule>
    <cfRule type="expression" dxfId="1452" priority="658">
      <formula>R25=""</formula>
    </cfRule>
  </conditionalFormatting>
  <conditionalFormatting sqref="X16">
    <cfRule type="cellIs" dxfId="1451" priority="603" operator="greaterThanOrEqual">
      <formula>6</formula>
    </cfRule>
    <cfRule type="cellIs" dxfId="1450" priority="604" operator="between">
      <formula>0.1</formula>
      <formula>5.9</formula>
    </cfRule>
    <cfRule type="expression" dxfId="1449" priority="606">
      <formula>X17=""</formula>
    </cfRule>
  </conditionalFormatting>
  <conditionalFormatting sqref="Y16:AB16">
    <cfRule type="cellIs" dxfId="1448" priority="591" operator="greaterThanOrEqual">
      <formula>6</formula>
    </cfRule>
    <cfRule type="cellIs" dxfId="1447" priority="592" operator="between">
      <formula>0.1</formula>
      <formula>5.9</formula>
    </cfRule>
    <cfRule type="expression" dxfId="1446" priority="594">
      <formula>Y17=""</formula>
    </cfRule>
  </conditionalFormatting>
  <conditionalFormatting sqref="X18">
    <cfRule type="cellIs" dxfId="1445" priority="584" operator="greaterThanOrEqual">
      <formula>6</formula>
    </cfRule>
    <cfRule type="cellIs" dxfId="1444" priority="585" operator="between">
      <formula>0.1</formula>
      <formula>5.9</formula>
    </cfRule>
    <cfRule type="expression" dxfId="1443" priority="587">
      <formula>X19=""</formula>
    </cfRule>
  </conditionalFormatting>
  <conditionalFormatting sqref="Y18:AB18">
    <cfRule type="cellIs" dxfId="1442" priority="577" operator="greaterThanOrEqual">
      <formula>6</formula>
    </cfRule>
    <cfRule type="cellIs" dxfId="1441" priority="578" operator="between">
      <formula>0.1</formula>
      <formula>5.9</formula>
    </cfRule>
    <cfRule type="expression" dxfId="1440" priority="580">
      <formula>Y19=""</formula>
    </cfRule>
  </conditionalFormatting>
  <conditionalFormatting sqref="X20">
    <cfRule type="cellIs" dxfId="1439" priority="570" operator="greaterThanOrEqual">
      <formula>6</formula>
    </cfRule>
    <cfRule type="cellIs" dxfId="1438" priority="571" operator="between">
      <formula>0.1</formula>
      <formula>5.9</formula>
    </cfRule>
    <cfRule type="expression" dxfId="1437" priority="573">
      <formula>X21=""</formula>
    </cfRule>
  </conditionalFormatting>
  <conditionalFormatting sqref="Y20:AB20">
    <cfRule type="cellIs" dxfId="1436" priority="563" operator="greaterThanOrEqual">
      <formula>6</formula>
    </cfRule>
    <cfRule type="cellIs" dxfId="1435" priority="564" operator="between">
      <formula>0.1</formula>
      <formula>5.9</formula>
    </cfRule>
    <cfRule type="expression" dxfId="1434" priority="566">
      <formula>Y21=""</formula>
    </cfRule>
  </conditionalFormatting>
  <conditionalFormatting sqref="X22">
    <cfRule type="cellIs" dxfId="1433" priority="556" operator="greaterThanOrEqual">
      <formula>6</formula>
    </cfRule>
    <cfRule type="cellIs" dxfId="1432" priority="557" operator="between">
      <formula>0.1</formula>
      <formula>5.9</formula>
    </cfRule>
    <cfRule type="expression" dxfId="1431" priority="559">
      <formula>X23=""</formula>
    </cfRule>
  </conditionalFormatting>
  <conditionalFormatting sqref="Y22:AB22">
    <cfRule type="cellIs" dxfId="1430" priority="549" operator="greaterThanOrEqual">
      <formula>6</formula>
    </cfRule>
    <cfRule type="cellIs" dxfId="1429" priority="550" operator="between">
      <formula>0.1</formula>
      <formula>5.9</formula>
    </cfRule>
    <cfRule type="expression" dxfId="1428" priority="552">
      <formula>Y23=""</formula>
    </cfRule>
  </conditionalFormatting>
  <conditionalFormatting sqref="X24">
    <cfRule type="cellIs" dxfId="1427" priority="542" operator="greaterThanOrEqual">
      <formula>6</formula>
    </cfRule>
    <cfRule type="cellIs" dxfId="1426" priority="543" operator="between">
      <formula>0.1</formula>
      <formula>5.9</formula>
    </cfRule>
    <cfRule type="expression" dxfId="1425" priority="545">
      <formula>X25=""</formula>
    </cfRule>
  </conditionalFormatting>
  <conditionalFormatting sqref="Y24:AB24">
    <cfRule type="cellIs" dxfId="1424" priority="535" operator="greaterThanOrEqual">
      <formula>6</formula>
    </cfRule>
    <cfRule type="cellIs" dxfId="1423" priority="536" operator="between">
      <formula>0.1</formula>
      <formula>5.9</formula>
    </cfRule>
    <cfRule type="expression" dxfId="1422" priority="538">
      <formula>Y25=""</formula>
    </cfRule>
  </conditionalFormatting>
  <conditionalFormatting sqref="C27">
    <cfRule type="cellIs" dxfId="1421" priority="483" operator="greaterThanOrEqual">
      <formula>6</formula>
    </cfRule>
    <cfRule type="cellIs" dxfId="1420" priority="484" operator="between">
      <formula>0.1</formula>
      <formula>5.9</formula>
    </cfRule>
    <cfRule type="expression" dxfId="1419" priority="486">
      <formula>C28=""</formula>
    </cfRule>
  </conditionalFormatting>
  <conditionalFormatting sqref="D27:G27">
    <cfRule type="cellIs" dxfId="1418" priority="471" operator="greaterThanOrEqual">
      <formula>6</formula>
    </cfRule>
    <cfRule type="cellIs" dxfId="1417" priority="472" operator="between">
      <formula>0.1</formula>
      <formula>5.9</formula>
    </cfRule>
    <cfRule type="expression" dxfId="1416" priority="474">
      <formula>D28=""</formula>
    </cfRule>
  </conditionalFormatting>
  <conditionalFormatting sqref="C29">
    <cfRule type="cellIs" dxfId="1415" priority="464" operator="greaterThanOrEqual">
      <formula>6</formula>
    </cfRule>
    <cfRule type="cellIs" dxfId="1414" priority="465" operator="between">
      <formula>0.1</formula>
      <formula>5.9</formula>
    </cfRule>
    <cfRule type="expression" dxfId="1413" priority="467">
      <formula>C30=""</formula>
    </cfRule>
  </conditionalFormatting>
  <conditionalFormatting sqref="D29:G29">
    <cfRule type="cellIs" dxfId="1412" priority="457" operator="greaterThanOrEqual">
      <formula>6</formula>
    </cfRule>
    <cfRule type="cellIs" dxfId="1411" priority="458" operator="between">
      <formula>0.1</formula>
      <formula>5.9</formula>
    </cfRule>
    <cfRule type="expression" dxfId="1410" priority="460">
      <formula>D30=""</formula>
    </cfRule>
  </conditionalFormatting>
  <conditionalFormatting sqref="C31">
    <cfRule type="cellIs" dxfId="1409" priority="450" operator="greaterThanOrEqual">
      <formula>6</formula>
    </cfRule>
    <cfRule type="cellIs" dxfId="1408" priority="451" operator="between">
      <formula>0.1</formula>
      <formula>5.9</formula>
    </cfRule>
    <cfRule type="expression" dxfId="1407" priority="453">
      <formula>C32=""</formula>
    </cfRule>
  </conditionalFormatting>
  <conditionalFormatting sqref="D31:G31">
    <cfRule type="cellIs" dxfId="1406" priority="443" operator="greaterThanOrEqual">
      <formula>6</formula>
    </cfRule>
    <cfRule type="cellIs" dxfId="1405" priority="444" operator="between">
      <formula>0.1</formula>
      <formula>5.9</formula>
    </cfRule>
    <cfRule type="expression" dxfId="1404" priority="446">
      <formula>D32=""</formula>
    </cfRule>
  </conditionalFormatting>
  <conditionalFormatting sqref="C33">
    <cfRule type="cellIs" dxfId="1403" priority="436" operator="greaterThanOrEqual">
      <formula>6</formula>
    </cfRule>
    <cfRule type="cellIs" dxfId="1402" priority="437" operator="between">
      <formula>0.1</formula>
      <formula>5.9</formula>
    </cfRule>
    <cfRule type="expression" dxfId="1401" priority="439">
      <formula>C34=""</formula>
    </cfRule>
  </conditionalFormatting>
  <conditionalFormatting sqref="D33:G33">
    <cfRule type="cellIs" dxfId="1400" priority="429" operator="greaterThanOrEqual">
      <formula>6</formula>
    </cfRule>
    <cfRule type="cellIs" dxfId="1399" priority="430" operator="between">
      <formula>0.1</formula>
      <formula>5.9</formula>
    </cfRule>
    <cfRule type="expression" dxfId="1398" priority="432">
      <formula>D34=""</formula>
    </cfRule>
  </conditionalFormatting>
  <conditionalFormatting sqref="C35">
    <cfRule type="cellIs" dxfId="1397" priority="422" operator="greaterThanOrEqual">
      <formula>6</formula>
    </cfRule>
    <cfRule type="cellIs" dxfId="1396" priority="423" operator="between">
      <formula>0.1</formula>
      <formula>5.9</formula>
    </cfRule>
    <cfRule type="expression" dxfId="1395" priority="425">
      <formula>C36=""</formula>
    </cfRule>
  </conditionalFormatting>
  <conditionalFormatting sqref="D35:G35">
    <cfRule type="cellIs" dxfId="1394" priority="415" operator="greaterThanOrEqual">
      <formula>6</formula>
    </cfRule>
    <cfRule type="cellIs" dxfId="1393" priority="416" operator="between">
      <formula>0.1</formula>
      <formula>5.9</formula>
    </cfRule>
    <cfRule type="expression" dxfId="1392" priority="418">
      <formula>D36=""</formula>
    </cfRule>
  </conditionalFormatting>
  <conditionalFormatting sqref="J27">
    <cfRule type="cellIs" dxfId="1391" priority="363" operator="greaterThanOrEqual">
      <formula>6</formula>
    </cfRule>
    <cfRule type="cellIs" dxfId="1390" priority="364" operator="between">
      <formula>0.1</formula>
      <formula>5.9</formula>
    </cfRule>
    <cfRule type="expression" dxfId="1389" priority="366">
      <formula>J28=""</formula>
    </cfRule>
  </conditionalFormatting>
  <conditionalFormatting sqref="K27:N27">
    <cfRule type="cellIs" dxfId="1388" priority="351" operator="greaterThanOrEqual">
      <formula>6</formula>
    </cfRule>
    <cfRule type="cellIs" dxfId="1387" priority="352" operator="between">
      <formula>0.1</formula>
      <formula>5.9</formula>
    </cfRule>
    <cfRule type="expression" dxfId="1386" priority="354">
      <formula>K28=""</formula>
    </cfRule>
  </conditionalFormatting>
  <conditionalFormatting sqref="J29">
    <cfRule type="cellIs" dxfId="1385" priority="344" operator="greaterThanOrEqual">
      <formula>6</formula>
    </cfRule>
    <cfRule type="cellIs" dxfId="1384" priority="345" operator="between">
      <formula>0.1</formula>
      <formula>5.9</formula>
    </cfRule>
    <cfRule type="expression" dxfId="1383" priority="347">
      <formula>J30=""</formula>
    </cfRule>
  </conditionalFormatting>
  <conditionalFormatting sqref="K29:N29">
    <cfRule type="cellIs" dxfId="1382" priority="337" operator="greaterThanOrEqual">
      <formula>6</formula>
    </cfRule>
    <cfRule type="cellIs" dxfId="1381" priority="338" operator="between">
      <formula>0.1</formula>
      <formula>5.9</formula>
    </cfRule>
    <cfRule type="expression" dxfId="1380" priority="340">
      <formula>K30=""</formula>
    </cfRule>
  </conditionalFormatting>
  <conditionalFormatting sqref="J31">
    <cfRule type="cellIs" dxfId="1379" priority="330" operator="greaterThanOrEqual">
      <formula>6</formula>
    </cfRule>
    <cfRule type="cellIs" dxfId="1378" priority="331" operator="between">
      <formula>0.1</formula>
      <formula>5.9</formula>
    </cfRule>
    <cfRule type="expression" dxfId="1377" priority="333">
      <formula>J32=""</formula>
    </cfRule>
  </conditionalFormatting>
  <conditionalFormatting sqref="K31:N31">
    <cfRule type="cellIs" dxfId="1376" priority="323" operator="greaterThanOrEqual">
      <formula>6</formula>
    </cfRule>
    <cfRule type="cellIs" dxfId="1375" priority="324" operator="between">
      <formula>0.1</formula>
      <formula>5.9</formula>
    </cfRule>
    <cfRule type="expression" dxfId="1374" priority="326">
      <formula>K32=""</formula>
    </cfRule>
  </conditionalFormatting>
  <conditionalFormatting sqref="J33">
    <cfRule type="cellIs" dxfId="1373" priority="316" operator="greaterThanOrEqual">
      <formula>6</formula>
    </cfRule>
    <cfRule type="cellIs" dxfId="1372" priority="317" operator="between">
      <formula>0.1</formula>
      <formula>5.9</formula>
    </cfRule>
    <cfRule type="expression" dxfId="1371" priority="319">
      <formula>J34=""</formula>
    </cfRule>
  </conditionalFormatting>
  <conditionalFormatting sqref="K33:N33">
    <cfRule type="cellIs" dxfId="1370" priority="309" operator="greaterThanOrEqual">
      <formula>6</formula>
    </cfRule>
    <cfRule type="cellIs" dxfId="1369" priority="310" operator="between">
      <formula>0.1</formula>
      <formula>5.9</formula>
    </cfRule>
    <cfRule type="expression" dxfId="1368" priority="312">
      <formula>K34=""</formula>
    </cfRule>
  </conditionalFormatting>
  <conditionalFormatting sqref="J35">
    <cfRule type="cellIs" dxfId="1367" priority="302" operator="greaterThanOrEqual">
      <formula>6</formula>
    </cfRule>
    <cfRule type="cellIs" dxfId="1366" priority="303" operator="between">
      <formula>0.1</formula>
      <formula>5.9</formula>
    </cfRule>
    <cfRule type="expression" dxfId="1365" priority="305">
      <formula>J36=""</formula>
    </cfRule>
  </conditionalFormatting>
  <conditionalFormatting sqref="K35:N35">
    <cfRule type="cellIs" dxfId="1364" priority="295" operator="greaterThanOrEqual">
      <formula>6</formula>
    </cfRule>
    <cfRule type="cellIs" dxfId="1363" priority="296" operator="between">
      <formula>0.1</formula>
      <formula>5.9</formula>
    </cfRule>
    <cfRule type="expression" dxfId="1362" priority="298">
      <formula>K36=""</formula>
    </cfRule>
  </conditionalFormatting>
  <conditionalFormatting sqref="Q27">
    <cfRule type="cellIs" dxfId="1361" priority="243" operator="greaterThanOrEqual">
      <formula>6</formula>
    </cfRule>
    <cfRule type="cellIs" dxfId="1360" priority="244" operator="between">
      <formula>0.1</formula>
      <formula>5.9</formula>
    </cfRule>
    <cfRule type="expression" dxfId="1359" priority="246">
      <formula>Q28=""</formula>
    </cfRule>
  </conditionalFormatting>
  <conditionalFormatting sqref="R27:U27">
    <cfRule type="cellIs" dxfId="1358" priority="231" operator="greaterThanOrEqual">
      <formula>6</formula>
    </cfRule>
    <cfRule type="cellIs" dxfId="1357" priority="232" operator="between">
      <formula>0.1</formula>
      <formula>5.9</formula>
    </cfRule>
    <cfRule type="expression" dxfId="1356" priority="234">
      <formula>R28=""</formula>
    </cfRule>
  </conditionalFormatting>
  <conditionalFormatting sqref="Q29">
    <cfRule type="cellIs" dxfId="1355" priority="224" operator="greaterThanOrEqual">
      <formula>6</formula>
    </cfRule>
    <cfRule type="cellIs" dxfId="1354" priority="225" operator="between">
      <formula>0.1</formula>
      <formula>5.9</formula>
    </cfRule>
    <cfRule type="expression" dxfId="1353" priority="227">
      <formula>Q30=""</formula>
    </cfRule>
  </conditionalFormatting>
  <conditionalFormatting sqref="R29:U29">
    <cfRule type="cellIs" dxfId="1352" priority="217" operator="greaterThanOrEqual">
      <formula>6</formula>
    </cfRule>
    <cfRule type="cellIs" dxfId="1351" priority="218" operator="between">
      <formula>0.1</formula>
      <formula>5.9</formula>
    </cfRule>
    <cfRule type="expression" dxfId="1350" priority="220">
      <formula>R30=""</formula>
    </cfRule>
  </conditionalFormatting>
  <conditionalFormatting sqref="Q31">
    <cfRule type="cellIs" dxfId="1349" priority="210" operator="greaterThanOrEqual">
      <formula>6</formula>
    </cfRule>
    <cfRule type="cellIs" dxfId="1348" priority="211" operator="between">
      <formula>0.1</formula>
      <formula>5.9</formula>
    </cfRule>
    <cfRule type="expression" dxfId="1347" priority="213">
      <formula>Q32=""</formula>
    </cfRule>
  </conditionalFormatting>
  <conditionalFormatting sqref="R31:U31">
    <cfRule type="cellIs" dxfId="1346" priority="203" operator="greaterThanOrEqual">
      <formula>6</formula>
    </cfRule>
    <cfRule type="cellIs" dxfId="1345" priority="204" operator="between">
      <formula>0.1</formula>
      <formula>5.9</formula>
    </cfRule>
    <cfRule type="expression" dxfId="1344" priority="206">
      <formula>R32=""</formula>
    </cfRule>
  </conditionalFormatting>
  <conditionalFormatting sqref="Q33">
    <cfRule type="cellIs" dxfId="1343" priority="196" operator="greaterThanOrEqual">
      <formula>6</formula>
    </cfRule>
    <cfRule type="cellIs" dxfId="1342" priority="197" operator="between">
      <formula>0.1</formula>
      <formula>5.9</formula>
    </cfRule>
    <cfRule type="expression" dxfId="1341" priority="199">
      <formula>Q34=""</formula>
    </cfRule>
  </conditionalFormatting>
  <conditionalFormatting sqref="R33:U33">
    <cfRule type="cellIs" dxfId="1340" priority="189" operator="greaterThanOrEqual">
      <formula>6</formula>
    </cfRule>
    <cfRule type="cellIs" dxfId="1339" priority="190" operator="between">
      <formula>0.1</formula>
      <formula>5.9</formula>
    </cfRule>
    <cfRule type="expression" dxfId="1338" priority="192">
      <formula>R34=""</formula>
    </cfRule>
  </conditionalFormatting>
  <conditionalFormatting sqref="Q35">
    <cfRule type="cellIs" dxfId="1337" priority="182" operator="greaterThanOrEqual">
      <formula>6</formula>
    </cfRule>
    <cfRule type="cellIs" dxfId="1336" priority="183" operator="between">
      <formula>0.1</formula>
      <formula>5.9</formula>
    </cfRule>
    <cfRule type="expression" dxfId="1335" priority="185">
      <formula>Q36=""</formula>
    </cfRule>
  </conditionalFormatting>
  <conditionalFormatting sqref="R35:U35">
    <cfRule type="cellIs" dxfId="1334" priority="175" operator="greaterThanOrEqual">
      <formula>6</formula>
    </cfRule>
    <cfRule type="cellIs" dxfId="1333" priority="176" operator="between">
      <formula>0.1</formula>
      <formula>5.9</formula>
    </cfRule>
    <cfRule type="expression" dxfId="1332" priority="178">
      <formula>R36=""</formula>
    </cfRule>
  </conditionalFormatting>
  <conditionalFormatting sqref="X27">
    <cfRule type="cellIs" dxfId="1331" priority="123" operator="greaterThanOrEqual">
      <formula>6</formula>
    </cfRule>
    <cfRule type="cellIs" dxfId="1330" priority="124" operator="between">
      <formula>0.1</formula>
      <formula>5.9</formula>
    </cfRule>
    <cfRule type="expression" dxfId="1329" priority="126">
      <formula>X28=""</formula>
    </cfRule>
  </conditionalFormatting>
  <conditionalFormatting sqref="Y27:AB27">
    <cfRule type="cellIs" dxfId="1328" priority="111" operator="greaterThanOrEqual">
      <formula>6</formula>
    </cfRule>
    <cfRule type="cellIs" dxfId="1327" priority="112" operator="between">
      <formula>0.1</formula>
      <formula>5.9</formula>
    </cfRule>
    <cfRule type="expression" dxfId="1326" priority="114">
      <formula>Y28=""</formula>
    </cfRule>
  </conditionalFormatting>
  <conditionalFormatting sqref="X29">
    <cfRule type="cellIs" dxfId="1325" priority="104" operator="greaterThanOrEqual">
      <formula>6</formula>
    </cfRule>
    <cfRule type="cellIs" dxfId="1324" priority="105" operator="between">
      <formula>0.1</formula>
      <formula>5.9</formula>
    </cfRule>
    <cfRule type="expression" dxfId="1323" priority="107">
      <formula>X30=""</formula>
    </cfRule>
  </conditionalFormatting>
  <conditionalFormatting sqref="Y29:AB29">
    <cfRule type="cellIs" dxfId="1322" priority="97" operator="greaterThanOrEqual">
      <formula>6</formula>
    </cfRule>
    <cfRule type="cellIs" dxfId="1321" priority="98" operator="between">
      <formula>0.1</formula>
      <formula>5.9</formula>
    </cfRule>
    <cfRule type="expression" dxfId="1320" priority="100">
      <formula>Y30=""</formula>
    </cfRule>
  </conditionalFormatting>
  <conditionalFormatting sqref="X31">
    <cfRule type="cellIs" dxfId="1319" priority="90" operator="greaterThanOrEqual">
      <formula>6</formula>
    </cfRule>
    <cfRule type="cellIs" dxfId="1318" priority="91" operator="between">
      <formula>0.1</formula>
      <formula>5.9</formula>
    </cfRule>
    <cfRule type="expression" dxfId="1317" priority="93">
      <formula>X32=""</formula>
    </cfRule>
  </conditionalFormatting>
  <conditionalFormatting sqref="Y31:AB31">
    <cfRule type="cellIs" dxfId="1316" priority="83" operator="greaterThanOrEqual">
      <formula>6</formula>
    </cfRule>
    <cfRule type="cellIs" dxfId="1315" priority="84" operator="between">
      <formula>0.1</formula>
      <formula>5.9</formula>
    </cfRule>
    <cfRule type="expression" dxfId="1314" priority="86">
      <formula>Y32=""</formula>
    </cfRule>
  </conditionalFormatting>
  <conditionalFormatting sqref="X33">
    <cfRule type="cellIs" dxfId="1313" priority="76" operator="greaterThanOrEqual">
      <formula>6</formula>
    </cfRule>
    <cfRule type="cellIs" dxfId="1312" priority="77" operator="between">
      <formula>0.1</formula>
      <formula>5.9</formula>
    </cfRule>
    <cfRule type="expression" dxfId="1311" priority="79">
      <formula>X34=""</formula>
    </cfRule>
  </conditionalFormatting>
  <conditionalFormatting sqref="Y33:AB33">
    <cfRule type="cellIs" dxfId="1310" priority="69" operator="greaterThanOrEqual">
      <formula>6</formula>
    </cfRule>
    <cfRule type="cellIs" dxfId="1309" priority="70" operator="between">
      <formula>0.1</formula>
      <formula>5.9</formula>
    </cfRule>
    <cfRule type="expression" dxfId="1308" priority="72">
      <formula>Y34=""</formula>
    </cfRule>
  </conditionalFormatting>
  <conditionalFormatting sqref="X35">
    <cfRule type="cellIs" dxfId="1307" priority="62" operator="greaterThanOrEqual">
      <formula>6</formula>
    </cfRule>
    <cfRule type="cellIs" dxfId="1306" priority="63" operator="between">
      <formula>0.1</formula>
      <formula>5.9</formula>
    </cfRule>
    <cfRule type="expression" dxfId="1305" priority="65">
      <formula>X36=""</formula>
    </cfRule>
  </conditionalFormatting>
  <conditionalFormatting sqref="Y35:AB35">
    <cfRule type="cellIs" dxfId="1304" priority="55" operator="greaterThanOrEqual">
      <formula>6</formula>
    </cfRule>
    <cfRule type="cellIs" dxfId="1303" priority="56" operator="between">
      <formula>0.1</formula>
      <formula>5.9</formula>
    </cfRule>
    <cfRule type="expression" dxfId="1302" priority="58">
      <formula>Y36=""</formula>
    </cfRule>
  </conditionalFormatting>
  <dataValidations xWindow="924" yWindow="695" count="3">
    <dataValidation type="decimal" allowBlank="1" showInputMessage="1" showErrorMessage="1" sqref="M41" xr:uid="{00000000-0002-0000-0200-000000000000}">
      <formula1>0</formula1>
      <formula2>8</formula2>
    </dataValidation>
    <dataValidation type="decimal" allowBlank="1" showErrorMessage="1" promptTitle="Entering" prompt="Enter how many hours you will work at Location B." sqref="C27:G27 C29:G29 C31:G31 C33:G33 C35:G35 J27:N27 J29:N29 J31:N31 J33:N33 J35:N35 Q27:U27 Q29:U29 Q31:U31 Q33:U33 Q35:U35 X27:AB27 X29:AB29 X31:AB31 X33:AB33 X35:AB35 X38:AB38 X40:AB40 C16:G16 X24:AB24 C18:G18 C20:G20 C22:G22 C24:G24 J5:N5 J7:N7 J9:N9 J11:N11 J13:N13 J16:N16 J18:N18 J20:N20 J22:N22 J24:N24 Q5:U5 Q7:U7 Q9:U9 Q11:U11 Q13:U13 Q16:U16 Q18:U18 Q20:U20 Q22:U22 Q24:U24 X5:AB5 X7:AB7 X9:AB9 X11:AB11 X13:AB13 X16:AB16 X18:AB18 X20:AB20 X22:AB22" xr:uid="{00000000-0002-0000-0200-000001000000}">
      <formula1>0</formula1>
      <formula2>8</formula2>
    </dataValidation>
    <dataValidation type="decimal" allowBlank="1" showErrorMessage="1" promptTitle="Entering" prompt="Enter how many hours you will work at Location B.  (YRE locations enter 8 hours for full day.)  " sqref="C5:G5 C7:G7 C9:G9 C11:G11 C13:G13" xr:uid="{00000000-0002-0000-0200-000002000000}">
      <formula1>0</formula1>
      <formula2>8</formula2>
    </dataValidation>
  </dataValidations>
  <pageMargins left="0.25" right="0.25" top="0.75" bottom="0.75" header="0.3" footer="0.3"/>
  <pageSetup scale="58" orientation="landscape" r:id="rId1"/>
  <headerFooter>
    <oddHeader xml:space="preserve">&amp;L&amp;G&amp;C&amp;"-,Bold"&amp;16&amp;K04+000Multiple Location Calendar &amp;"-,Regular"&amp;14&amp;K01+000
&amp;R&amp;"-,Bold"&amp;16Location B&amp;K000000
&amp;"-,Regular"&amp;K01+000
</oddHeader>
    <oddFooter>&amp;L&amp;"-,Bold"&amp;K04+000Human Resource Usage Only:&amp;"-,Regular"&amp;K01+000
__ Contract days balance        __ Skyward assignments match   
__ Calendar types updated    __ Notes&amp;C__ Uploaded to Google Doc                  __ Scanned in Employee File&amp;R&amp;D</oddFooter>
  </headerFooter>
  <legacyDrawingHF r:id="rId2"/>
  <extLst>
    <ext xmlns:x14="http://schemas.microsoft.com/office/spreadsheetml/2009/9/main" uri="{78C0D931-6437-407d-A8EE-F0AAD7539E65}">
      <x14:conditionalFormattings>
        <x14:conditionalFormatting xmlns:xm="http://schemas.microsoft.com/office/excel/2006/main">
          <x14:cfRule type="containsText" priority="6914" operator="containsText" id="{3CCD0F26-5AE0-440D-8C3F-4367684A1E88}">
            <xm:f>NOT(ISERROR(SEARCH("û",AB43)))</xm:f>
            <xm:f>"û"</xm:f>
            <x14:dxf>
              <font>
                <color rgb="FFFF0000"/>
              </font>
            </x14:dxf>
          </x14:cfRule>
          <x14:cfRule type="containsText" priority="6915" operator="containsText" id="{039ABC13-5E4E-4854-88EB-A9D66244D70D}">
            <xm:f>NOT(ISERROR(SEARCH("ü",AB43)))</xm:f>
            <xm:f>"ü"</xm:f>
            <x14:dxf>
              <font>
                <color theme="9" tint="-0.24994659260841701"/>
              </font>
            </x14:dxf>
          </x14:cfRule>
          <xm:sqref>AB43</xm:sqref>
        </x14:conditionalFormatting>
        <x14:conditionalFormatting xmlns:xm="http://schemas.microsoft.com/office/excel/2006/main">
          <x14:cfRule type="expression" priority="1437" id="{EA2EB52B-5B7C-4BF6-9218-230945ABA366}">
            <xm:f>AND(VLOOKUP(C6,Calendars!$V:$AB,MATCH($X$1,Calendars!$V$1:$AB$1,0),FALSE)="Non Contract",$C$5&gt;0)</xm:f>
            <x14:dxf>
              <fill>
                <patternFill patternType="solid">
                  <fgColor theme="4" tint="0.79998168889431442"/>
                  <bgColor theme="8" tint="0.79995117038483843"/>
                </patternFill>
              </fill>
            </x14:dxf>
          </x14:cfRule>
          <xm:sqref>C5:G5 C7:G7 C9:G9 C11:G11 C13:G13 J5:N5 J7:N7 J9:N9 J11:N11 J13:N13 Q5:U5 Q7:U7 Q9:U9 Q11:U11 Q13:U13 X5:AB5 X7:AB7 X9:AB9 X11:AB11 X13:AB13 C16:G16 C18:G18 C20:G20 C22:G22 C24:G24 J16:N16 J18:N18 J20:N20 J22:N22 J24:N24 Q16:U16 Q18:U18 Q20:U20 Q22:U22 Q24:U24 X16:AB16 X18:AB18 X20:AB20 X22:AB22 X24:AB24 C27:G27 C29:G29 C31:G31 C33:G33 C35:G35 J27:N27 J29:N29 J31:N31 J33:N33 J35:N35 Q27:U27 Q29:U29 Q31:U31 Q33:U33 Q35:U35 X27:AB27 X29:AB29 X31:AB31 X33:AB33 X35:AB35</xm:sqref>
        </x14:conditionalFormatting>
        <x14:conditionalFormatting xmlns:xm="http://schemas.microsoft.com/office/excel/2006/main">
          <x14:cfRule type="expression" priority="1447" id="{EB2EEEA2-FB4C-4087-A177-EDC76D72AEA1}">
            <xm:f>AND(VLOOKUP(C6,Calendars!$O:$U,MATCH($X$1,Calendars!$O$1:$U$1,0),FALSE)="",C5=0)</xm:f>
            <x14:dxf>
              <fill>
                <patternFill>
                  <bgColor theme="7" tint="0.79998168889431442"/>
                </patternFill>
              </fill>
            </x14:dxf>
          </x14:cfRule>
          <xm:sqref>C5:G5 C7:G7 C9:G9 C11:G11 C13:G13 J5:N5 J7:N7 J9:N9 J11:N11 J13:N13 Q5:U5 Q7:U7 Q9:U9 Q11:U11 Q13:U13 X5:AB5 X7:AB7 X9:AB9 X11:AB11 X13:AB13 C16:G16 C18:G18 C20:G20 C22:G22 C24:G24 J16:N16 J18:N18 J20:N20 J22:N22 J24:N24 Q16:U16 Q18:U18 Q20:U20 Q22:U22 Q24:U24 X16:AB16 X18:AB18 X20:AB20 X22:AB22 X24:AB24 C27:G27 C29:G29 C31:G31 C33:G33 C35:G35 J27:N27 J29:N29 J31:N31 J33:N33 J35:N35 Q27:U27 Q29:U29 Q31:U31 Q33:U33 Q35:U35 X27:AB27 X29:AB29 X31:AB31 X33:AB33 X35:AB35</xm:sqref>
        </x14:conditionalFormatting>
        <x14:conditionalFormatting xmlns:xm="http://schemas.microsoft.com/office/excel/2006/main">
          <x14:cfRule type="expression" priority="1436" id="{EC92C1EF-6B5F-42E3-A34B-824235B0D86D}">
            <xm:f>VLOOKUP(C6,Calendars!$O:$U,MATCH($X$1,Calendars!$O$1:$U$1,0),FALSE)="Non Contract"</xm:f>
            <x14:dxf>
              <fill>
                <patternFill patternType="lightDown"/>
              </fill>
              <border>
                <bottom/>
              </border>
            </x14:dxf>
          </x14:cfRule>
          <x14:cfRule type="expression" priority="1445" id="{D5683626-4715-45F4-83DD-E0D0B361430C}">
            <xm:f>VLOOKUP(C6,Calendars!$O:$U,MATCH($X$1,Calendars!$O$1:$U$1,0),FALSE)="Holiday"</xm:f>
            <x14:dxf>
              <fill>
                <patternFill>
                  <bgColor rgb="FFFF99FF"/>
                </patternFill>
              </fill>
              <border>
                <bottom/>
              </border>
            </x14:dxf>
          </x14:cfRule>
          <xm:sqref>C5:G5 C7:G7 C9:G9 C11:G11 C13:G13 J5:N5 J7:N7 J9:N9 J11:N11 J13:N13 Q5:U5 Q7:U7 Q9:U9 Q11:U11 Q13:U13 X5:AB5 X7:AB7 X9:AB9 X11:AB11 X13:AB13 C16:G16 C18:G18 C20:G20 C22:G22 C24:G24 J16:N16 J18:N18 J20:N20 J22:N22 J24:N24 Q16:U16 Q18:U18 Q20:U20 Q22:U22 Q24:U24 X16:AB16 X18:AB18 X20:AB20 X22:AB22 X24:AB24 C27:G27 C29:G29 C31:G31 C33:G33 C35:G35 J27:N27 J29:N29 J31:N31 J33:N33 J35:N35 Q27:U27 Q29:U29 Q31:U31 Q33:U33 Q35:U35 X27:AB27 X29:AB29 X31:AB31 X33:AB33 X35:AB35</xm:sqref>
        </x14:conditionalFormatting>
        <x14:conditionalFormatting xmlns:xm="http://schemas.microsoft.com/office/excel/2006/main">
          <x14:cfRule type="expression" priority="7" id="{0997B89B-2D46-4247-86B5-7AABDBCAF837}">
            <xm:f>VLOOKUP(Q19,Calendars!$V:$AB,MATCH($X$1,Calendars!$V$1:$AB$1,0),FALSE)="HW"</xm:f>
            <x14:dxf>
              <fill>
                <patternFill>
                  <bgColor rgb="FF00B050"/>
                </patternFill>
              </fill>
            </x14:dxf>
          </x14:cfRule>
          <xm:sqref>Q19:U19</xm:sqref>
        </x14:conditionalFormatting>
        <x14:conditionalFormatting xmlns:xm="http://schemas.microsoft.com/office/excel/2006/main">
          <x14:cfRule type="expression" priority="6" id="{21417A13-BA6A-421D-8C42-E56CA4F9B533}">
            <xm:f>VLOOKUP(J23,Calendars!$V:$AC,MATCH($X$1,Calendars!$V$1:$AC$1,0),FALSE)="Flex"</xm:f>
            <x14:dxf>
              <fill>
                <patternFill>
                  <bgColor rgb="FF0070C0"/>
                </patternFill>
              </fill>
            </x14:dxf>
          </x14:cfRule>
          <xm:sqref>J23:L23</xm:sqref>
        </x14:conditionalFormatting>
        <x14:conditionalFormatting xmlns:xm="http://schemas.microsoft.com/office/excel/2006/main">
          <x14:cfRule type="expression" priority="37595" id="{1FEEBF9F-00B1-4458-BE8F-AF9E9C44394B}">
            <xm:f>VLOOKUP(X39,Calendars!$P$1:$Y$398,MATCH($X$1:$Y$1,Calendars!$P$1:$Y$1,0),FALSE)=""</xm:f>
            <x14:dxf>
              <fill>
                <patternFill>
                  <bgColor theme="7" tint="0.79998168889431442"/>
                </patternFill>
              </fill>
            </x14:dxf>
          </x14:cfRule>
          <xm:sqref>X38:AB38 X40:AB40</xm:sqref>
        </x14:conditionalFormatting>
        <x14:conditionalFormatting xmlns:xm="http://schemas.microsoft.com/office/excel/2006/main">
          <x14:cfRule type="expression" priority="37597" id="{7362F17F-68DD-43E2-8CBE-2AE2AC6E2F4E}">
            <xm:f>VLOOKUP(X39,Calendars!$P$1:$Y$398,MATCH($X$1:$Y$1,Calendars!$P$1:$Y$1,0),FALSE)="Holiday"</xm:f>
            <x14:dxf>
              <fill>
                <patternFill>
                  <bgColor rgb="FFFF99FF"/>
                </patternFill>
              </fill>
              <border>
                <bottom/>
              </border>
            </x14:dxf>
          </x14:cfRule>
          <x14:cfRule type="expression" priority="37598" id="{42F7B97B-2BEC-4C7C-AA36-8765D2ABDBD3}">
            <xm:f>VLOOKUP(X39,Calendars!$P$1:$Y$398,MATCH($X$1:$Y$1,Calendars!$P$1:$Y$1,0),FALSE)="Non Contract"</xm:f>
            <x14:dxf>
              <fill>
                <patternFill patternType="lightDown"/>
              </fill>
              <border>
                <bottom/>
              </border>
            </x14:dxf>
          </x14:cfRule>
          <xm:sqref>X38:AB38 X40:AB40</xm:sqref>
        </x14:conditionalFormatting>
        <x14:conditionalFormatting xmlns:xm="http://schemas.microsoft.com/office/excel/2006/main">
          <x14:cfRule type="expression" priority="37601" id="{98071E07-7B7A-49CB-BA8B-AE918BF7E2DD}">
            <xm:f>VLOOKUP(X39,Calendars!$P$1:$Y$398,MATCH($X$1,Calendars!$P$1:$Y$1,0),FALSE)="MPTC"</xm:f>
            <x14:dxf>
              <fill>
                <patternFill>
                  <bgColor theme="5" tint="0.39994506668294322"/>
                </patternFill>
              </fill>
            </x14:dxf>
          </x14:cfRule>
          <x14:cfRule type="expression" priority="37602" id="{613A44E7-5C1D-4842-9492-3D9E8C8EB674}">
            <xm:f>VLOOKUP(X39,Calendars!$P$1:$Y$398,MATCH($X$1,Calendars!$P$1:$Y$1,0),FALSE)="PTC"</xm:f>
            <x14:dxf>
              <fill>
                <patternFill>
                  <bgColor theme="5" tint="-0.24994659260841701"/>
                </patternFill>
              </fill>
            </x14:dxf>
          </x14:cfRule>
          <x14:cfRule type="expression" priority="37603" id="{60102A9C-D3BF-4E13-99CB-441B50CAF66B}">
            <xm:f>VLOOKUP(X39,Calendars!$P$1:$Y$398,MATCH($X$1,Calendars!$P$1:$Y$1,0),FALSE)="PD"</xm:f>
            <x14:dxf>
              <fill>
                <patternFill>
                  <bgColor rgb="FF0070C0"/>
                </patternFill>
              </fill>
            </x14:dxf>
          </x14:cfRule>
          <x14:cfRule type="expression" priority="37604" id="{3FFF6001-80E0-4817-B545-CC13605EEF25}">
            <xm:f>VLOOKUP(X39,Calendars!$P$1:$Y$398,MATCH($X$1,Calendars!$P$1:$Y$1,0),FALSE)="Non Contract"</xm:f>
            <x14:dxf>
              <fill>
                <patternFill patternType="lightDown"/>
              </fill>
            </x14:dxf>
          </x14:cfRule>
          <x14:cfRule type="expression" priority="37605" id="{F6FD6644-1141-4CA1-AFC5-6BB074D558D3}">
            <xm:f>VLOOKUP(X39,Calendars!$P$1:$Y$398,MATCH($X$1,Calendars!$P$1:$Y$1,0),FALSE)="Holiday"</xm:f>
            <x14:dxf>
              <fill>
                <patternFill>
                  <bgColor rgb="FFFF99FF"/>
                </patternFill>
              </fill>
            </x14:dxf>
          </x14:cfRule>
          <xm:sqref>X39:AB39 X41:AB41</xm:sqref>
        </x14:conditionalFormatting>
        <x14:conditionalFormatting xmlns:xm="http://schemas.microsoft.com/office/excel/2006/main">
          <x14:cfRule type="expression" priority="37670" id="{554B1454-FC8B-4DF1-897F-F5FB77376FA7}">
            <xm:f>VLOOKUP(C6,Calendars!$V:$AB,MATCH($X$1,Calendars!$V$1:$AB$1,0),FALSE)="MPTC"</xm:f>
            <x14:dxf>
              <fill>
                <patternFill>
                  <bgColor theme="5" tint="0.39994506668294322"/>
                </patternFill>
              </fill>
            </x14:dxf>
          </x14:cfRule>
          <x14:cfRule type="expression" priority="37671" id="{37DE6639-06AC-478E-8C5D-378AEB29AA89}">
            <xm:f>VLOOKUP(C6,Calendars!$V:$AC,MATCH($X$1,Calendars!$V$1:$AC$1,0),FALSE)="PTC"</xm:f>
            <x14:dxf>
              <fill>
                <patternFill>
                  <bgColor theme="5" tint="-0.24994659260841701"/>
                </patternFill>
              </fill>
            </x14:dxf>
          </x14:cfRule>
          <x14:cfRule type="expression" priority="37672" id="{AEDBEFCF-9E48-4166-863E-B924A5291638}">
            <xm:f>VLOOKUP(C6,Calendars!$V:$AC,MATCH($X$1,Calendars!$V$1:$AC$1,0),FALSE)="PD"</xm:f>
            <x14:dxf>
              <fill>
                <patternFill>
                  <bgColor rgb="FF0070C0"/>
                </patternFill>
              </fill>
            </x14:dxf>
          </x14:cfRule>
          <x14:cfRule type="expression" priority="37673" id="{565F1E6C-52CE-4F21-9677-91F55E4F8D2E}">
            <xm:f>VLOOKUP(C6,Calendars!$O:$U,MATCH($X$1,Calendars!$O$1:$U$1,0),FALSE)="Non Contract"</xm:f>
            <x14:dxf>
              <fill>
                <patternFill patternType="lightDown"/>
              </fill>
            </x14:dxf>
          </x14:cfRule>
          <x14:cfRule type="expression" priority="37674" id="{53F5BAD7-19A1-430B-835A-12AF33143E22}">
            <xm:f>VLOOKUP(C6,Calendars!$O:$U,MATCH($X$1,Calendars!$O$1:$U$1,0),FALSE)="Holiday"</xm:f>
            <x14:dxf>
              <fill>
                <patternFill>
                  <bgColor rgb="FFFF99FF"/>
                </patternFill>
              </fill>
            </x14:dxf>
          </x14:cfRule>
          <xm:sqref>C6:G6 C8:G8 C10:G10 C12:G12 C14:G14 J6:N6 J8:N8 J10:N10 J12:N12 J14:N14 Q6:U6 Q8:U8 Q10:U10 Q12:U12 Q14:U14 X6:AB6 X8:AB8 X10:AB10 X12:AB12 X14:AB14 C17:G17 C19:G19 C21:G21 C23:G23 C25:G25 J17:N17 J19:N19 J21:N21 J23:N23 J25:N25 Q17:U17 Q19:U19 Q21:U21 Q23:U23 Q25:U25 X17:AB17 X19:AB19 X21:AB21 X23:AB23 X25:AB25 C30:G30 C32:G32 C34:G34 C36:G36 J28:N28 J30:N30 J32:N32 J34:N34 J36:N36 Q28:U28 Q30:U30 Q32:U32 Q34:U34 Q36:U36 X28:AB28 X30:AB30 X32:AB32 X34:AB34 X36:AB36 D28:G28</xm:sqref>
        </x14:conditionalFormatting>
        <x14:conditionalFormatting xmlns:xm="http://schemas.microsoft.com/office/excel/2006/main">
          <x14:cfRule type="expression" priority="1" id="{3D9E9F1A-F6C4-4543-8194-E340E7CCAA21}">
            <xm:f>VLOOKUP(C28,Calendars!$V:$AB,MATCH($X$1,Calendars!$V$1:$AB$1,0),FALSE)="MPTC"</xm:f>
            <x14:dxf>
              <fill>
                <patternFill>
                  <bgColor theme="5" tint="0.39994506668294322"/>
                </patternFill>
              </fill>
            </x14:dxf>
          </x14:cfRule>
          <x14:cfRule type="expression" priority="2" id="{E7E44E97-3F95-481E-BFFB-D4155504976C}">
            <xm:f>VLOOKUP(C28,Calendars!$V:$AC,MATCH($X$1,Calendars!$V$1:$AC$1,0),FALSE)="PTC"</xm:f>
            <x14:dxf>
              <fill>
                <patternFill>
                  <bgColor theme="5" tint="-0.24994659260841701"/>
                </patternFill>
              </fill>
            </x14:dxf>
          </x14:cfRule>
          <x14:cfRule type="expression" priority="3" id="{FF681904-A3FF-4AF5-B8F0-F26237205FA3}">
            <xm:f>VLOOKUP(C28,Calendars!$V:$AC,MATCH($X$1,Calendars!$V$1:$AC$1,0),FALSE)="PD"</xm:f>
            <x14:dxf>
              <fill>
                <patternFill>
                  <bgColor rgb="FF0070C0"/>
                </patternFill>
              </fill>
            </x14:dxf>
          </x14:cfRule>
          <x14:cfRule type="expression" priority="4" id="{6E0A4FEB-279D-4C8D-9529-B64665A9B52A}">
            <xm:f>VLOOKUP(C28,Calendars!$O:$U,MATCH($X$1,Calendars!$O$1:$U$1,0),FALSE)="Non Contract"</xm:f>
            <x14:dxf>
              <fill>
                <patternFill patternType="lightDown"/>
              </fill>
            </x14:dxf>
          </x14:cfRule>
          <x14:cfRule type="expression" priority="5" id="{921C2506-F9DC-4AE3-AC02-0684D55AEFFF}">
            <xm:f>VLOOKUP(C28,Calendars!$O:$U,MATCH($X$1,Calendars!$O$1:$U$1,0),FALSE)="Holiday"</xm:f>
            <x14:dxf>
              <fill>
                <patternFill>
                  <bgColor rgb="FFFF99FF"/>
                </patternFill>
              </fill>
            </x14:dxf>
          </x14:cfRule>
          <xm:sqref>C28</xm:sqref>
        </x14:conditionalFormatting>
      </x14:conditionalFormattings>
    </ext>
    <ext xmlns:x14="http://schemas.microsoft.com/office/spreadsheetml/2009/9/main" uri="{CCE6A557-97BC-4b89-ADB6-D9C93CAAB3DF}">
      <x14:dataValidations xmlns:xm="http://schemas.microsoft.com/office/excel/2006/main" xWindow="924" yWindow="695" count="1">
        <x14:dataValidation type="list" allowBlank="1" showInputMessage="1" showErrorMessage="1" xr:uid="{00000000-0002-0000-0200-000003000000}">
          <x14:formula1>
            <xm:f>Calendars!$Q$1:$U$1</xm:f>
          </x14:formula1>
          <xm:sqref>X1:Y1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1">
    <pageSetUpPr fitToPage="1"/>
  </sheetPr>
  <dimension ref="A1:BI55"/>
  <sheetViews>
    <sheetView showGridLines="0" view="pageLayout" topLeftCell="B4" zoomScale="85" zoomScaleNormal="100" zoomScalePageLayoutView="85" workbookViewId="0">
      <selection activeCell="O40" sqref="O40:P41"/>
    </sheetView>
  </sheetViews>
  <sheetFormatPr defaultColWidth="5.5703125" defaultRowHeight="15" x14ac:dyDescent="0.25"/>
  <cols>
    <col min="1" max="4" width="7.140625" customWidth="1"/>
    <col min="5" max="5" width="6.85546875" customWidth="1"/>
    <col min="6" max="16" width="7.140625" customWidth="1"/>
    <col min="17" max="17" width="7.42578125" customWidth="1"/>
    <col min="18" max="29" width="7.140625" customWidth="1"/>
    <col min="30" max="30" width="8.42578125" bestFit="1" customWidth="1"/>
  </cols>
  <sheetData>
    <row r="1" spans="1:34" ht="30" customHeight="1" x14ac:dyDescent="0.35">
      <c r="A1" s="46"/>
      <c r="B1" s="316" t="s">
        <v>211</v>
      </c>
      <c r="C1" s="316"/>
      <c r="D1" s="317">
        <f>'Location A'!D1</f>
        <v>0</v>
      </c>
      <c r="E1" s="317"/>
      <c r="F1" s="317"/>
      <c r="G1" s="317"/>
      <c r="H1" s="317"/>
      <c r="I1" s="317"/>
      <c r="J1" s="317"/>
      <c r="K1" s="317"/>
      <c r="L1" s="317"/>
      <c r="M1" s="63"/>
      <c r="N1" s="285" t="s">
        <v>53</v>
      </c>
      <c r="O1" s="285"/>
      <c r="P1" s="286">
        <f>'Location A'!X1</f>
        <v>0</v>
      </c>
      <c r="Q1" s="286"/>
      <c r="R1" s="64"/>
      <c r="S1" s="64"/>
      <c r="T1" s="64"/>
      <c r="U1" s="64"/>
      <c r="V1" s="52"/>
      <c r="W1" s="52"/>
      <c r="X1" s="52"/>
      <c r="Y1" s="52"/>
      <c r="Z1" s="52"/>
      <c r="AA1" s="52"/>
      <c r="AB1" s="53"/>
      <c r="AC1" s="11"/>
    </row>
    <row r="2" spans="1:34" ht="34.5" customHeight="1" x14ac:dyDescent="0.3">
      <c r="A2" s="47"/>
      <c r="B2" s="316" t="s">
        <v>212</v>
      </c>
      <c r="C2" s="316"/>
      <c r="D2" s="317">
        <f>'Location A'!D2</f>
        <v>0</v>
      </c>
      <c r="E2" s="317"/>
      <c r="F2" s="317"/>
      <c r="G2" s="317"/>
      <c r="H2" s="317"/>
      <c r="I2" s="317"/>
      <c r="J2" s="317"/>
      <c r="K2" s="317"/>
      <c r="L2" s="317"/>
      <c r="M2" s="65" t="e">
        <f>VLOOKUP(D2,Calendars!AM:AO,3,FALSE)</f>
        <v>#N/A</v>
      </c>
      <c r="N2" s="70" t="s">
        <v>48</v>
      </c>
      <c r="O2" s="71">
        <f>'Location A'!L2</f>
        <v>0</v>
      </c>
      <c r="P2" s="70" t="s">
        <v>49</v>
      </c>
      <c r="Q2" s="299" t="e">
        <f>'Location A'!X2</f>
        <v>#N/A</v>
      </c>
      <c r="R2" s="299"/>
      <c r="S2" s="45"/>
      <c r="T2" s="298" t="s">
        <v>51</v>
      </c>
      <c r="U2" s="298"/>
      <c r="V2" s="11"/>
      <c r="W2" s="11"/>
      <c r="X2" s="11"/>
      <c r="Y2" s="54"/>
      <c r="Z2" s="11"/>
      <c r="AA2" s="11"/>
      <c r="AB2" s="11"/>
      <c r="AC2" s="11"/>
    </row>
    <row r="3" spans="1:34" ht="39" customHeight="1" x14ac:dyDescent="0.3">
      <c r="A3" s="47"/>
      <c r="B3" s="316" t="s">
        <v>213</v>
      </c>
      <c r="C3" s="316" t="s">
        <v>41</v>
      </c>
      <c r="D3" s="318">
        <f>'Location A'!O2</f>
        <v>0</v>
      </c>
      <c r="E3" s="318"/>
      <c r="F3" s="318"/>
      <c r="G3" s="318"/>
      <c r="H3" s="318"/>
      <c r="I3" s="318"/>
      <c r="J3" s="318"/>
      <c r="K3" s="318"/>
      <c r="L3" s="318"/>
      <c r="M3" s="65" t="e">
        <f>VLOOKUP(D3,Calendars!AM:AO,3,FALSE)</f>
        <v>#N/A</v>
      </c>
      <c r="N3" s="70" t="s">
        <v>48</v>
      </c>
      <c r="O3" s="72">
        <f>'Location B'!L2</f>
        <v>0</v>
      </c>
      <c r="P3" s="70" t="s">
        <v>49</v>
      </c>
      <c r="Q3" s="300" t="e">
        <f>'Location B'!X2</f>
        <v>#N/A</v>
      </c>
      <c r="R3" s="300"/>
      <c r="S3" s="45"/>
      <c r="T3" s="45"/>
      <c r="U3" s="66"/>
      <c r="V3" s="55"/>
      <c r="W3" s="56"/>
      <c r="X3" s="97"/>
      <c r="Y3" s="57"/>
      <c r="Z3" s="11"/>
      <c r="AA3" s="23"/>
      <c r="AB3" s="55"/>
      <c r="AC3" s="11"/>
    </row>
    <row r="4" spans="1:34" ht="15.75" x14ac:dyDescent="0.25">
      <c r="A4" s="48"/>
      <c r="B4" s="58"/>
      <c r="C4" s="58"/>
      <c r="D4" s="58"/>
      <c r="E4" s="58"/>
      <c r="F4" s="58"/>
      <c r="G4" s="58"/>
      <c r="H4" s="58"/>
      <c r="I4" s="58"/>
      <c r="J4" s="58"/>
      <c r="K4" s="58"/>
      <c r="L4" s="58"/>
      <c r="M4" s="58"/>
      <c r="N4" s="58"/>
      <c r="O4" s="58"/>
      <c r="P4" s="58"/>
      <c r="Q4" s="58"/>
      <c r="R4" s="58"/>
      <c r="S4" s="58"/>
      <c r="T4" s="58"/>
      <c r="U4" s="58"/>
      <c r="V4" s="58"/>
      <c r="W4" s="58"/>
      <c r="X4" s="58"/>
      <c r="Y4" s="58"/>
      <c r="Z4" s="58"/>
      <c r="AA4" s="58"/>
      <c r="AB4" s="58"/>
      <c r="AC4" s="11"/>
    </row>
    <row r="5" spans="1:34" ht="15.75" thickBot="1" x14ac:dyDescent="0.3">
      <c r="A5" s="49"/>
      <c r="B5" s="59"/>
      <c r="C5" s="59" t="s">
        <v>0</v>
      </c>
      <c r="D5" s="59" t="s">
        <v>1</v>
      </c>
      <c r="E5" s="59" t="s">
        <v>2</v>
      </c>
      <c r="F5" s="59" t="s">
        <v>3</v>
      </c>
      <c r="G5" s="59" t="s">
        <v>4</v>
      </c>
      <c r="H5" s="59"/>
      <c r="I5" s="59"/>
      <c r="J5" s="59" t="s">
        <v>0</v>
      </c>
      <c r="K5" s="59" t="s">
        <v>1</v>
      </c>
      <c r="L5" s="59" t="s">
        <v>2</v>
      </c>
      <c r="M5" s="59" t="s">
        <v>3</v>
      </c>
      <c r="N5" s="59" t="s">
        <v>4</v>
      </c>
      <c r="O5" s="59"/>
      <c r="P5" s="59"/>
      <c r="Q5" s="59" t="s">
        <v>0</v>
      </c>
      <c r="R5" s="59" t="s">
        <v>1</v>
      </c>
      <c r="S5" s="59" t="s">
        <v>2</v>
      </c>
      <c r="T5" s="59" t="s">
        <v>3</v>
      </c>
      <c r="U5" s="59" t="s">
        <v>4</v>
      </c>
      <c r="V5" s="59"/>
      <c r="W5" s="59"/>
      <c r="X5" s="59" t="s">
        <v>0</v>
      </c>
      <c r="Y5" s="59" t="s">
        <v>1</v>
      </c>
      <c r="Z5" s="59" t="s">
        <v>2</v>
      </c>
      <c r="AA5" s="59" t="s">
        <v>3</v>
      </c>
      <c r="AB5" s="59" t="s">
        <v>4</v>
      </c>
      <c r="AC5" s="11"/>
    </row>
    <row r="6" spans="1:34" ht="16.5" customHeight="1" x14ac:dyDescent="0.25">
      <c r="A6" s="24"/>
      <c r="B6" s="280" t="s">
        <v>5</v>
      </c>
      <c r="C6" s="147" t="str">
        <f>IF('Location A'!C5+'Location B'!C5=0,"",IF(AND('Location A'!C5&gt;=6,'Location B'!C5=0),UPPER($M$2),IF(AND('Location B'!C5&gt;=6,'Location A'!C5=0),UPPER($M$3),IF(AND('Location A'!C5&gt;0,'Location A'!C5&lt;6,'Location B'!C5=0),LOWER($M$2),IF(AND('Location B'!C5&lt;6,'Location B'!C5&gt;0,'Location A'!C5=0),LOWER($M$3),IF(AND('Location A'!C5+'Location B'!C5&lt;8.5,'Location A'!C5+'Location B'!C5&gt;0),"Both","Error"))))))</f>
        <v/>
      </c>
      <c r="D6" s="148" t="str">
        <f>IF('Location A'!D5+'Location B'!D5=0,"",IF(AND('Location A'!D5&gt;=6,'Location B'!D5=0),UPPER($M$2),IF(AND('Location B'!D5&gt;=6,'Location A'!D5=0),UPPER($M$3),IF(AND('Location A'!D5&gt;0,'Location A'!D5&lt;6,'Location B'!D5=0),LOWER($M$2),IF(AND('Location B'!D5&lt;6,'Location B'!D5&gt;0,'Location A'!D5=0),LOWER($M$3),IF(AND('Location A'!D5+'Location B'!D5&lt;8.5,'Location A'!D5+'Location B'!D5&gt;0),"Both","Error"))))))</f>
        <v/>
      </c>
      <c r="E6" s="148" t="str">
        <f>IF('Location A'!E5+'Location B'!E5=0,"",IF(AND('Location A'!E5&gt;=6,'Location B'!E5=0),UPPER($M$2),IF(AND('Location B'!E5&gt;=6,'Location A'!E5=0),UPPER($M$3),IF(AND('Location A'!E5&gt;0,'Location A'!E5&lt;6,'Location B'!E5=0),LOWER($M$2),IF(AND('Location B'!E5&lt;6,'Location B'!E5&gt;0,'Location A'!E5=0),LOWER($M$3),IF(AND('Location A'!E5+'Location B'!E5&lt;8.5,'Location A'!E5+'Location B'!E5&gt;0),"Both","Error"))))))</f>
        <v/>
      </c>
      <c r="F6" s="148" t="str">
        <f>IF('Location A'!F5+'Location B'!F5=0,"",IF(AND('Location A'!F5&gt;=6,'Location B'!F5=0),UPPER($M$2),IF(AND('Location B'!F5&gt;=6,'Location A'!F5=0),UPPER($M$3),IF(AND('Location A'!F5&gt;0,'Location A'!F5&lt;6,'Location B'!F5=0),LOWER($M$2),IF(AND('Location B'!F5&lt;6,'Location B'!F5&gt;0,'Location A'!F5=0),LOWER($M$3),IF(AND('Location A'!F5+'Location B'!F5&lt;8.5,'Location A'!F5+'Location B'!F5&gt;0),"Both","Error"))))))</f>
        <v/>
      </c>
      <c r="G6" s="149" t="str">
        <f>IF('Location A'!G5+'Location B'!G5=0,"",IF(AND('Location A'!G5&gt;=6,'Location B'!G5=0),UPPER($M$2),IF(AND('Location B'!G5&gt;=6,'Location A'!G5=0),UPPER($M$3),IF(AND('Location A'!G5&gt;0,'Location A'!G5&lt;6,'Location B'!G5=0),LOWER($M$2),IF(AND('Location B'!G5&lt;6,'Location B'!G5&gt;0,'Location A'!G5=0),LOWER($M$3),IF(AND('Location A'!G5+'Location B'!G5&lt;8.5,'Location A'!G5+'Location B'!G5&gt;0),"Both","Error"))))))</f>
        <v/>
      </c>
      <c r="H6" s="150"/>
      <c r="I6" s="306" t="s">
        <v>6</v>
      </c>
      <c r="J6" s="147" t="str">
        <f>IF('Location A'!J5+'Location B'!J5=0,"",IF(AND('Location A'!J5&gt;=6,'Location B'!J5=0),UPPER($M$2),IF(AND('Location B'!J5&gt;=6,'Location A'!J5=0),UPPER($M$3),IF(AND('Location A'!J5&gt;0,'Location A'!J5&lt;6,'Location B'!J5=0),LOWER($M$2),IF(AND('Location B'!J5&lt;6,'Location B'!J5&gt;0,'Location A'!J5=0),LOWER($M$3),IF(AND('Location A'!J5+'Location B'!J5&lt;8.5,'Location A'!J5+'Location B'!J5&gt;0),"Both","Error"))))))</f>
        <v/>
      </c>
      <c r="K6" s="148" t="str">
        <f>IF('Location A'!K5+'Location B'!K5=0,"",IF(AND('Location A'!K5&gt;=6,'Location B'!K5=0),UPPER($M$2),IF(AND('Location B'!K5&gt;=6,'Location A'!K5=0),UPPER($M$3),IF(AND('Location A'!K5&gt;0,'Location A'!K5&lt;6,'Location B'!K5=0),LOWER($M$2),IF(AND('Location B'!K5&lt;6,'Location B'!K5&gt;0,'Location A'!K5=0),LOWER($M$3),IF(AND('Location A'!K5+'Location B'!K5&lt;8.5,'Location A'!K5+'Location B'!K5&gt;0),"Both","Error"))))))</f>
        <v/>
      </c>
      <c r="L6" s="148" t="str">
        <f>IF('Location A'!L5+'Location B'!L5=0,"",IF(AND('Location A'!L5&gt;=6,'Location B'!L5=0),UPPER($M$2),IF(AND('Location B'!L5&gt;=6,'Location A'!L5=0),UPPER($M$3),IF(AND('Location A'!L5&gt;0,'Location A'!L5&lt;6,'Location B'!L5=0),LOWER($M$2),IF(AND('Location B'!L5&lt;6,'Location B'!L5&gt;0,'Location A'!L5=0),LOWER($M$3),IF(AND('Location A'!L5+'Location B'!L5&lt;8.5,'Location A'!L5+'Location B'!L5&gt;0),"Both","Error"))))))</f>
        <v/>
      </c>
      <c r="M6" s="148" t="str">
        <f>IF('Location A'!M5+'Location B'!M5=0,"",IF(AND('Location A'!M5&gt;=6,'Location B'!M5=0),UPPER($M$2),IF(AND('Location B'!M5&gt;=6,'Location A'!M5=0),UPPER($M$3),IF(AND('Location A'!M5&gt;0,'Location A'!M5&lt;6,'Location B'!M5=0),LOWER($M$2),IF(AND('Location B'!M5&lt;6,'Location B'!M5&gt;0,'Location A'!M5=0),LOWER($M$3),IF(AND('Location A'!M5+'Location B'!M5&lt;8.5,'Location A'!M5+'Location B'!M5&gt;0),"Both","Error"))))))</f>
        <v/>
      </c>
      <c r="N6" s="149" t="str">
        <f>IF('Location A'!N5+'Location B'!N5=0,"",IF(AND('Location A'!N5&gt;=6,'Location B'!N5=0),UPPER($M$2),IF(AND('Location B'!N5&gt;=6,'Location A'!N5=0),UPPER($M$3),IF(AND('Location A'!N5&gt;0,'Location A'!N5&lt;6,'Location B'!N5=0),LOWER($M$2),IF(AND('Location B'!N5&lt;6,'Location B'!N5&gt;0,'Location A'!N5=0),LOWER($M$3),IF(AND('Location A'!N5+'Location B'!N5&lt;8.5,'Location A'!N5+'Location B'!N5&gt;0),"Both","Error"))))))</f>
        <v/>
      </c>
      <c r="O6" s="151"/>
      <c r="P6" s="301" t="s">
        <v>7</v>
      </c>
      <c r="Q6" s="147" t="str">
        <f>IF('Location A'!Q5+'Location B'!Q5=0,"",IF(AND('Location A'!Q5&gt;=6,'Location B'!Q5=0),UPPER($M$2),IF(AND('Location B'!Q5&gt;=6,'Location A'!Q5=0),UPPER($M$3),IF(AND('Location A'!Q5&gt;0,'Location A'!Q5&lt;6,'Location B'!Q5=0),LOWER($M$2),IF(AND('Location B'!Q5&lt;6,'Location B'!Q5&gt;0,'Location A'!Q5=0),LOWER($M$3),IF(AND('Location A'!Q5+'Location B'!Q5&lt;8.5,'Location A'!Q5+'Location B'!Q5&gt;0),"Both","Error"))))))</f>
        <v/>
      </c>
      <c r="R6" s="148" t="str">
        <f>IF('Location A'!R5+'Location B'!R5=0,"",IF(AND('Location A'!R5&gt;=6,'Location B'!R5=0),UPPER($M$2),IF(AND('Location B'!R5&gt;=6,'Location A'!R5=0),UPPER($M$3),IF(AND('Location A'!R5&gt;0,'Location A'!R5&lt;6,'Location B'!R5=0),LOWER($M$2),IF(AND('Location B'!R5&lt;6,'Location B'!R5&gt;0,'Location A'!R5=0),LOWER($M$3),IF(AND('Location A'!R5+'Location B'!R5&lt;8.5,'Location A'!R5+'Location B'!R5&gt;0),"Both","Error"))))))</f>
        <v/>
      </c>
      <c r="S6" s="148" t="str">
        <f>IF('Location A'!S5+'Location B'!S5=0,"",IF(AND('Location A'!S5&gt;=6,'Location B'!S5=0),UPPER($M$2),IF(AND('Location B'!S5&gt;=6,'Location A'!S5=0),UPPER($M$3),IF(AND('Location A'!S5&gt;0,'Location A'!S5&lt;6,'Location B'!S5=0),LOWER($M$2),IF(AND('Location B'!S5&lt;6,'Location B'!S5&gt;0,'Location A'!S5=0),LOWER($M$3),IF(AND('Location A'!S5+'Location B'!S5&lt;8.5,'Location A'!S5+'Location B'!S5&gt;0),"Both","Error"))))))</f>
        <v/>
      </c>
      <c r="T6" s="148" t="str">
        <f>IF('Location A'!T5+'Location B'!T5=0,"",IF(AND('Location A'!T5&gt;=6,'Location B'!T5=0),UPPER($M$2),IF(AND('Location B'!T5&gt;=6,'Location A'!T5=0),UPPER($M$3),IF(AND('Location A'!T5&gt;0,'Location A'!T5&lt;6,'Location B'!T5=0),LOWER($M$2),IF(AND('Location B'!T5&lt;6,'Location B'!T5&gt;0,'Location A'!T5=0),LOWER($M$3),IF(AND('Location A'!T5+'Location B'!T5&lt;8.5,'Location A'!T5+'Location B'!T5&gt;0),"Both","Error"))))))</f>
        <v/>
      </c>
      <c r="U6" s="149" t="str">
        <f>IF('Location A'!U5+'Location B'!U5=0,"",IF(AND('Location A'!U5&gt;=6,'Location B'!U5=0),UPPER($M$2),IF(AND('Location B'!U5&gt;=6,'Location A'!U5=0),UPPER($M$3),IF(AND('Location A'!U5&gt;0,'Location A'!U5&lt;6,'Location B'!U5=0),LOWER($M$2),IF(AND('Location B'!U5&lt;6,'Location B'!U5&gt;0,'Location A'!U5=0),LOWER($M$3),IF(AND('Location A'!U5+'Location B'!U5&lt;8.5,'Location A'!U5+'Location B'!U5&gt;0),"Both","Error"))))))</f>
        <v/>
      </c>
      <c r="V6" s="151"/>
      <c r="W6" s="306" t="s">
        <v>8</v>
      </c>
      <c r="X6" s="147" t="str">
        <f>IF('Location A'!X5+'Location B'!X5=0,"",IF(AND('Location A'!X5&gt;=6,'Location B'!X5=0),UPPER($M$2),IF(AND('Location B'!X5&gt;=6,'Location A'!X5=0),UPPER($M$3),IF(AND('Location A'!X5&gt;0,'Location A'!X5&lt;6,'Location B'!X5=0),LOWER($M$2),IF(AND('Location B'!X5&lt;6,'Location B'!X5&gt;0,'Location A'!X5=0),LOWER($M$3),IF(AND('Location A'!X5+'Location B'!X5&lt;8.5,'Location A'!X5+'Location B'!X5&gt;0),"Both","Error"))))))</f>
        <v/>
      </c>
      <c r="Y6" s="148" t="str">
        <f>IF('Location A'!Y5+'Location B'!Y5=0,"",IF(AND('Location A'!Y5&gt;=6,'Location B'!Y5=0),UPPER($M$2),IF(AND('Location B'!Y5&gt;=6,'Location A'!Y5=0),UPPER($M$3),IF(AND('Location A'!Y5&gt;0,'Location A'!Y5&lt;6,'Location B'!Y5=0),LOWER($M$2),IF(AND('Location B'!Y5&lt;6,'Location B'!Y5&gt;0,'Location A'!Y5=0),LOWER($M$3),IF(AND('Location A'!Y5+'Location B'!Y5&lt;8.5,'Location A'!Y5+'Location B'!Y5&gt;0),"Both","Error"))))))</f>
        <v/>
      </c>
      <c r="Z6" s="148" t="str">
        <f>IF('Location A'!Z5+'Location B'!Z5=0,"",IF(AND('Location A'!Z5&gt;=6,'Location B'!Z5=0),UPPER($M$2),IF(AND('Location B'!Z5&gt;=6,'Location A'!Z5=0),UPPER($M$3),IF(AND('Location A'!Z5&gt;0,'Location A'!Z5&lt;6,'Location B'!Z5=0),LOWER($M$2),IF(AND('Location B'!Z5&lt;6,'Location B'!Z5&gt;0,'Location A'!Z5=0),LOWER($M$3),IF(AND('Location A'!Z5+'Location B'!Z5&lt;8.5,'Location A'!Z5+'Location B'!Z5&gt;0),"Both","Error"))))))</f>
        <v/>
      </c>
      <c r="AA6" s="148" t="str">
        <f>IF('Location A'!AA5+'Location B'!AA5=0,"",IF(AND('Location A'!AA5&gt;=6,'Location B'!AA5=0),UPPER($M$2),IF(AND('Location B'!AA5&gt;=6,'Location A'!AA5=0),UPPER($M$3),IF(AND('Location A'!AA5&gt;0,'Location A'!AA5&lt;6,'Location B'!AA5=0),LOWER($M$2),IF(AND('Location B'!AA5&lt;6,'Location B'!AA5&gt;0,'Location A'!AA5=0),LOWER($M$3),IF(AND('Location A'!AA5+'Location B'!AA5&lt;8.5,'Location A'!AA5+'Location B'!AA5&gt;0),"Both","Error"))))))</f>
        <v/>
      </c>
      <c r="AB6" s="149" t="str">
        <f>IF('Location A'!AB5+'Location B'!AB5=0,"",IF(AND('Location A'!AB5&gt;=6,'Location B'!AB5=0),UPPER($M$2),IF(AND('Location B'!AB5&gt;=6,'Location A'!AB5=0),UPPER($M$3),IF(AND('Location A'!AB5&gt;0,'Location A'!AB5&lt;6,'Location B'!AB5=0),LOWER($M$2),IF(AND('Location B'!AB5&lt;6,'Location B'!AB5&gt;0,'Location A'!AB5=0),LOWER($M$3),IF(AND('Location A'!AB5+'Location B'!AB5&lt;8.5,'Location A'!AB5+'Location B'!AB5&gt;0),"Both","Error"))))))</f>
        <v/>
      </c>
      <c r="AC6" s="41"/>
    </row>
    <row r="7" spans="1:34" x14ac:dyDescent="0.25">
      <c r="A7" s="11"/>
      <c r="B7" s="281"/>
      <c r="C7" s="152" t="str">
        <f>IF(AND(YEAR(July1OffSet+2)=BegCalYear,MONTH(July1OffSet+2)=7),July1OffSet+2,"")</f>
        <v/>
      </c>
      <c r="D7" s="177" t="str">
        <f>IF(AND(YEAR(July1OffSet+3)=BegCalYear,MONTH(July1OffSet+3)=7),July1OffSet+3,"")</f>
        <v/>
      </c>
      <c r="E7" s="177">
        <f>IF(AND(YEAR(July1OffSet+4)=BegCalYear,MONTH(July1OffSet+4)=7),July1OffSet+4,"")</f>
        <v>46204</v>
      </c>
      <c r="F7" s="177">
        <f>IF(AND(YEAR(July1OffSet+5)=BegCalYear,MONTH(July1OffSet+5)=7),July1OffSet+5,"")</f>
        <v>46205</v>
      </c>
      <c r="G7" s="178">
        <f>IF(AND(YEAR(July1OffSet+6)=BegCalYear,MONTH(July1OffSet+6)=7),July1OffSet+6,"")</f>
        <v>46206</v>
      </c>
      <c r="H7" s="153"/>
      <c r="I7" s="307"/>
      <c r="J7" s="152" t="str">
        <f>IF(AND(YEAR(OctOffSet+2)=BegCalYear,MONTH(OctOffSet+2)=10),OctOffSet+2,"")</f>
        <v/>
      </c>
      <c r="K7" s="177" t="str">
        <f>IF(AND(YEAR(OctOffSet+3)=BegCalYear,MONTH(OctOffSet+3)=10),OctOffSet+3,"")</f>
        <v/>
      </c>
      <c r="L7" s="177" t="str">
        <f>IF(AND(YEAR(OctOffSet+4)=BegCalYear,MONTH(OctOffSet+4)=10),OctOffSet+4,"")</f>
        <v/>
      </c>
      <c r="M7" s="177">
        <f>IF(AND(YEAR(OctOffSet+5)=BegCalYear,MONTH(OctOffSet+5)=10),OctOffSet+5,"")</f>
        <v>46296</v>
      </c>
      <c r="N7" s="178">
        <f>IF(AND(YEAR(OctOffSet+6)=BegCalYear,MONTH(OctOffSet+6)=10),OctOffSet+6,"")</f>
        <v>46297</v>
      </c>
      <c r="O7" s="151"/>
      <c r="P7" s="302"/>
      <c r="Q7" s="152" t="str">
        <f>IF(AND(YEAR(JanOffSet+2)=CalendarYear,MONTH(JanOffSet+2)=1),JanOffSet+2,"")</f>
        <v/>
      </c>
      <c r="R7" s="177" t="str">
        <f>IF(AND(YEAR(JanOffSet+3)=CalendarYear,MONTH(JanOffSet+3)=1),JanOffSet+3,"")</f>
        <v/>
      </c>
      <c r="S7" s="177" t="str">
        <f>IF(AND(YEAR(JanOffSet+4)=CalendarYear,MONTH(JanOffSet+4)=1),JanOffSet+4,"")</f>
        <v/>
      </c>
      <c r="T7" s="177" t="str">
        <f>IF(AND(YEAR(JanOffSet+5)=CalendarYear,MONTH(JanOffSet+5)=1),JanOffSet+5,"")</f>
        <v/>
      </c>
      <c r="U7" s="178">
        <f>IF(AND(YEAR(JanOffSet+6)=CalendarYear,MONTH(JanOffSet+6)=1),JanOffSet+6,"")</f>
        <v>46388</v>
      </c>
      <c r="V7" s="151"/>
      <c r="W7" s="307"/>
      <c r="X7" s="152" t="str">
        <f>IF(AND(YEAR(AprOffSet+2)=CalendarYear,MONTH(AprOffSet+2)=4),AprOffSet+2,"")</f>
        <v/>
      </c>
      <c r="Y7" s="177" t="str">
        <f>IF(AND(YEAR(AprOffSet+3)=CalendarYear,MONTH(AprOffSet+3)=4),AprOffSet+3,"")</f>
        <v/>
      </c>
      <c r="Z7" s="177" t="str">
        <f>IF(AND(YEAR(AprOffSet+4)=CalendarYear,MONTH(AprOffSet+4)=4),AprOffSet+4,"")</f>
        <v/>
      </c>
      <c r="AA7" s="177">
        <f>IF(AND(YEAR(AprOffSet+5)=CalendarYear,MONTH(AprOffSet+5)=4),AprOffSet+5,"")</f>
        <v>46478</v>
      </c>
      <c r="AB7" s="178">
        <f>IF(AND(YEAR(AprOffSet+6)=CalendarYear,MONTH(AprOffSet+6)=4),AprOffSet+6,"")</f>
        <v>46479</v>
      </c>
      <c r="AC7" s="41"/>
    </row>
    <row r="8" spans="1:34" x14ac:dyDescent="0.25">
      <c r="A8" s="25"/>
      <c r="B8" s="281"/>
      <c r="C8" s="154" t="str">
        <f>IF('Location A'!C7+'Location B'!C7=0,"",IF(AND('Location A'!C7&gt;=6,'Location B'!C7=0),UPPER($M$2),IF(AND('Location B'!C7&gt;=6,'Location A'!C7=0),UPPER($M$3),IF(AND('Location A'!C7&gt;0,'Location A'!C7&lt;6,'Location B'!C7=0),LOWER($M$2),IF(AND('Location B'!C7&lt;6,'Location B'!C7&gt;0,'Location A'!C7=0),LOWER($M$3),IF(AND('Location A'!C7+'Location B'!C7&lt;8.5,'Location A'!C7+'Location B'!C7&gt;0),"Both","Error"))))))</f>
        <v/>
      </c>
      <c r="D8" s="155" t="str">
        <f>IF('Location A'!D7+'Location B'!D7=0,"",IF(AND('Location A'!D7&gt;=6,'Location B'!D7=0),UPPER($M$2),IF(AND('Location B'!D7&gt;=6,'Location A'!D7=0),UPPER($M$3),IF(AND('Location A'!D7&gt;0,'Location A'!D7&lt;6,'Location B'!D7=0),LOWER($M$2),IF(AND('Location B'!D7&lt;6,'Location B'!D7&gt;0,'Location A'!D7=0),LOWER($M$3),IF(AND('Location A'!D7+'Location B'!D7&lt;8.5,'Location A'!D7+'Location B'!D7&gt;0),"Both","Error"))))))</f>
        <v/>
      </c>
      <c r="E8" s="155" t="str">
        <f>IF('Location A'!E7+'Location B'!E7=0,"",IF(AND('Location A'!E7&gt;=6,'Location B'!E7=0),UPPER($M$2),IF(AND('Location B'!E7&gt;=6,'Location A'!E7=0),UPPER($M$3),IF(AND('Location A'!E7&gt;0,'Location A'!E7&lt;6,'Location B'!E7=0),LOWER($M$2),IF(AND('Location B'!E7&lt;6,'Location B'!E7&gt;0,'Location A'!E7=0),LOWER($M$3),IF(AND('Location A'!E7+'Location B'!E7&lt;8.5,'Location A'!E7+'Location B'!E7&gt;0),"Both","Error"))))))</f>
        <v/>
      </c>
      <c r="F8" s="155" t="str">
        <f>IF('Location A'!F7+'Location B'!F7=0,"",IF(AND('Location A'!F7&gt;=6,'Location B'!F7=0),UPPER($M$2),IF(AND('Location B'!F7&gt;=6,'Location A'!F7=0),UPPER($M$3),IF(AND('Location A'!F7&gt;0,'Location A'!F7&lt;6,'Location B'!F7=0),LOWER($M$2),IF(AND('Location B'!F7&lt;6,'Location B'!F7&gt;0,'Location A'!F7=0),LOWER($M$3),IF(AND('Location A'!F7+'Location B'!F7&lt;8.5,'Location A'!F7+'Location B'!F7&gt;0),"Both","Error"))))))</f>
        <v/>
      </c>
      <c r="G8" s="156" t="str">
        <f>IF('Location A'!G7+'Location B'!G7=0,"",IF(AND('Location A'!G7&gt;=6,'Location B'!G7=0),UPPER($M$2),IF(AND('Location B'!G7&gt;=6,'Location A'!G7=0),UPPER($M$3),IF(AND('Location A'!G7&gt;0,'Location A'!G7&lt;6,'Location B'!G7=0),LOWER($M$2),IF(AND('Location B'!G7&lt;6,'Location B'!G7&gt;0,'Location A'!G7=0),LOWER($M$3),IF(AND('Location A'!G7+'Location B'!G7&lt;8.5,'Location A'!G7+'Location B'!G7&gt;0),"Both","Error"))))))</f>
        <v/>
      </c>
      <c r="H8" s="153"/>
      <c r="I8" s="307"/>
      <c r="J8" s="154" t="str">
        <f>IF('Location A'!J7+'Location B'!J7=0,"",IF(AND('Location A'!J7&gt;=6,'Location B'!J7=0),UPPER($M$2),IF(AND('Location B'!J7&gt;=6,'Location A'!J7=0),UPPER($M$3),IF(AND('Location A'!J7&gt;0,'Location A'!J7&lt;6,'Location B'!J7=0),LOWER($M$2),IF(AND('Location B'!J7&lt;6,'Location B'!J7&gt;0,'Location A'!J7=0),LOWER($M$3),IF(AND('Location A'!J7+'Location B'!J7&lt;8.5,'Location A'!J7+'Location B'!J7&gt;0),"Both","Error"))))))</f>
        <v/>
      </c>
      <c r="K8" s="155" t="str">
        <f>IF('Location A'!K7+'Location B'!K7=0,"",IF(AND('Location A'!K7&gt;=6,'Location B'!K7=0),UPPER($M$2),IF(AND('Location B'!K7&gt;=6,'Location A'!K7=0),UPPER($M$3),IF(AND('Location A'!K7&gt;0,'Location A'!K7&lt;6,'Location B'!K7=0),LOWER($M$2),IF(AND('Location B'!K7&lt;6,'Location B'!K7&gt;0,'Location A'!K7=0),LOWER($M$3),IF(AND('Location A'!K7+'Location B'!K7&lt;8.5,'Location A'!K7+'Location B'!K7&gt;0),"Both","Error"))))))</f>
        <v/>
      </c>
      <c r="L8" s="155" t="str">
        <f>IF('Location A'!L7+'Location B'!L7=0,"",IF(AND('Location A'!L7&gt;=6,'Location B'!L7=0),UPPER($M$2),IF(AND('Location B'!L7&gt;=6,'Location A'!L7=0),UPPER($M$3),IF(AND('Location A'!L7&gt;0,'Location A'!L7&lt;6,'Location B'!L7=0),LOWER($M$2),IF(AND('Location B'!L7&lt;6,'Location B'!L7&gt;0,'Location A'!L7=0),LOWER($M$3),IF(AND('Location A'!L7+'Location B'!L7&lt;8.5,'Location A'!L7+'Location B'!L7&gt;0),"Both","Error"))))))</f>
        <v/>
      </c>
      <c r="M8" s="155" t="str">
        <f>IF('Location A'!M7+'Location B'!M7=0,"",IF(AND('Location A'!M7&gt;=6,'Location B'!M7=0),UPPER($M$2),IF(AND('Location B'!M7&gt;=6,'Location A'!M7=0),UPPER($M$3),IF(AND('Location A'!M7&gt;0,'Location A'!M7&lt;6,'Location B'!M7=0),LOWER($M$2),IF(AND('Location B'!M7&lt;6,'Location B'!M7&gt;0,'Location A'!M7=0),LOWER($M$3),IF(AND('Location A'!M7+'Location B'!M7&lt;8.5,'Location A'!M7+'Location B'!M7&gt;0),"Both","Error"))))))</f>
        <v/>
      </c>
      <c r="N8" s="156" t="str">
        <f>IF('Location A'!N7+'Location B'!N7=0,"",IF(AND('Location A'!N7&gt;=6,'Location B'!N7=0),UPPER($M$2),IF(AND('Location B'!N7&gt;=6,'Location A'!N7=0),UPPER($M$3),IF(AND('Location A'!N7&gt;0,'Location A'!N7&lt;6,'Location B'!N7=0),LOWER($M$2),IF(AND('Location B'!N7&lt;6,'Location B'!N7&gt;0,'Location A'!N7=0),LOWER($M$3),IF(AND('Location A'!N7+'Location B'!N7&lt;8.5,'Location A'!N7+'Location B'!N7&gt;0),"Both","Error"))))))</f>
        <v/>
      </c>
      <c r="O8" s="151"/>
      <c r="P8" s="302"/>
      <c r="Q8" s="154" t="str">
        <f>IF('Location A'!Q7+'Location B'!Q7=0,"",IF(AND('Location A'!Q7&gt;=6,'Location B'!Q7=0),UPPER($M$2),IF(AND('Location B'!Q7&gt;=6,'Location A'!Q7=0),UPPER($M$3),IF(AND('Location A'!Q7&gt;0,'Location A'!Q7&lt;6,'Location B'!Q7=0),LOWER($M$2),IF(AND('Location B'!Q7&lt;6,'Location B'!Q7&gt;0,'Location A'!Q7=0),LOWER($M$3),IF(AND('Location A'!Q7+'Location B'!Q7&lt;8.5,'Location A'!Q7+'Location B'!Q7&gt;0),"Both","Error"))))))</f>
        <v/>
      </c>
      <c r="R8" s="155" t="str">
        <f>IF('Location A'!R7+'Location B'!R7=0,"",IF(AND('Location A'!R7&gt;=6,'Location B'!R7=0),UPPER($M$2),IF(AND('Location B'!R7&gt;=6,'Location A'!R7=0),UPPER($M$3),IF(AND('Location A'!R7&gt;0,'Location A'!R7&lt;6,'Location B'!R7=0),LOWER($M$2),IF(AND('Location B'!R7&lt;6,'Location B'!R7&gt;0,'Location A'!R7=0),LOWER($M$3),IF(AND('Location A'!R7+'Location B'!R7&lt;8.5,'Location A'!R7+'Location B'!R7&gt;0),"Both","Error"))))))</f>
        <v/>
      </c>
      <c r="S8" s="155" t="str">
        <f>IF('Location A'!S7+'Location B'!S7=0,"",IF(AND('Location A'!S7&gt;=6,'Location B'!S7=0),UPPER($M$2),IF(AND('Location B'!S7&gt;=6,'Location A'!S7=0),UPPER($M$3),IF(AND('Location A'!S7&gt;0,'Location A'!S7&lt;6,'Location B'!S7=0),LOWER($M$2),IF(AND('Location B'!S7&lt;6,'Location B'!S7&gt;0,'Location A'!S7=0),LOWER($M$3),IF(AND('Location A'!S7+'Location B'!S7&lt;8.5,'Location A'!S7+'Location B'!S7&gt;0),"Both","Error"))))))</f>
        <v/>
      </c>
      <c r="T8" s="155" t="str">
        <f>IF('Location A'!T7+'Location B'!T7=0,"",IF(AND('Location A'!T7&gt;=6,'Location B'!T7=0),UPPER($M$2),IF(AND('Location B'!T7&gt;=6,'Location A'!T7=0),UPPER($M$3),IF(AND('Location A'!T7&gt;0,'Location A'!T7&lt;6,'Location B'!T7=0),LOWER($M$2),IF(AND('Location B'!T7&lt;6,'Location B'!T7&gt;0,'Location A'!T7=0),LOWER($M$3),IF(AND('Location A'!T7+'Location B'!T7&lt;8.5,'Location A'!T7+'Location B'!T7&gt;0),"Both","Error"))))))</f>
        <v/>
      </c>
      <c r="U8" s="156" t="str">
        <f>IF('Location A'!U7+'Location B'!U7=0,"",IF(AND('Location A'!U7&gt;=6,'Location B'!U7=0),UPPER($M$2),IF(AND('Location B'!U7&gt;=6,'Location A'!U7=0),UPPER($M$3),IF(AND('Location A'!U7&gt;0,'Location A'!U7&lt;6,'Location B'!U7=0),LOWER($M$2),IF(AND('Location B'!U7&lt;6,'Location B'!U7&gt;0,'Location A'!U7=0),LOWER($M$3),IF(AND('Location A'!U7+'Location B'!U7&lt;8.5,'Location A'!U7+'Location B'!U7&gt;0),"Both","Error"))))))</f>
        <v/>
      </c>
      <c r="V8" s="151"/>
      <c r="W8" s="307"/>
      <c r="X8" s="154" t="str">
        <f>IF('Location A'!X7+'Location B'!X7=0,"",IF(AND('Location A'!X7&gt;=6,'Location B'!X7=0),UPPER($M$2),IF(AND('Location B'!X7&gt;=6,'Location A'!X7=0),UPPER($M$3),IF(AND('Location A'!X7&gt;0,'Location A'!X7&lt;6,'Location B'!X7=0),LOWER($M$2),IF(AND('Location B'!X7&lt;6,'Location B'!X7&gt;0,'Location A'!X7=0),LOWER($M$3),IF(AND('Location A'!X7+'Location B'!X7&lt;8.5,'Location A'!X7+'Location B'!X7&gt;0),"Both","Error"))))))</f>
        <v/>
      </c>
      <c r="Y8" s="155" t="str">
        <f>IF('Location A'!Y7+'Location B'!Y7=0,"",IF(AND('Location A'!Y7&gt;=6,'Location B'!Y7=0),UPPER($M$2),IF(AND('Location B'!Y7&gt;=6,'Location A'!Y7=0),UPPER($M$3),IF(AND('Location A'!Y7&gt;0,'Location A'!Y7&lt;6,'Location B'!Y7=0),LOWER($M$2),IF(AND('Location B'!Y7&lt;6,'Location B'!Y7&gt;0,'Location A'!Y7=0),LOWER($M$3),IF(AND('Location A'!Y7+'Location B'!Y7&lt;8.5,'Location A'!Y7+'Location B'!Y7&gt;0),"Both","Error"))))))</f>
        <v/>
      </c>
      <c r="Z8" s="155" t="str">
        <f>IF('Location A'!Z7+'Location B'!Z7=0,"",IF(AND('Location A'!Z7&gt;=6,'Location B'!Z7=0),UPPER($M$2),IF(AND('Location B'!Z7&gt;=6,'Location A'!Z7=0),UPPER($M$3),IF(AND('Location A'!Z7&gt;0,'Location A'!Z7&lt;6,'Location B'!Z7=0),LOWER($M$2),IF(AND('Location B'!Z7&lt;6,'Location B'!Z7&gt;0,'Location A'!Z7=0),LOWER($M$3),IF(AND('Location A'!Z7+'Location B'!Z7&lt;8.5,'Location A'!Z7+'Location B'!Z7&gt;0),"Both","Error"))))))</f>
        <v/>
      </c>
      <c r="AA8" s="155" t="str">
        <f>IF('Location A'!AA7+'Location B'!AA7=0,"",IF(AND('Location A'!AA7&gt;=6,'Location B'!AA7=0),UPPER($M$2),IF(AND('Location B'!AA7&gt;=6,'Location A'!AA7=0),UPPER($M$3),IF(AND('Location A'!AA7&gt;0,'Location A'!AA7&lt;6,'Location B'!AA7=0),LOWER($M$2),IF(AND('Location B'!AA7&lt;6,'Location B'!AA7&gt;0,'Location A'!AA7=0),LOWER($M$3),IF(AND('Location A'!AA7+'Location B'!AA7&lt;8.5,'Location A'!AA7+'Location B'!AA7&gt;0),"Both","Error"))))))</f>
        <v/>
      </c>
      <c r="AB8" s="156" t="str">
        <f>IF('Location A'!AB7+'Location B'!AB7=0,"",IF(AND('Location A'!AB7&gt;=6,'Location B'!AB7=0),UPPER($M$2),IF(AND('Location B'!AB7&gt;=6,'Location A'!AB7=0),UPPER($M$3),IF(AND('Location A'!AB7&gt;0,'Location A'!AB7&lt;6,'Location B'!AB7=0),LOWER($M$2),IF(AND('Location B'!AB7&lt;6,'Location B'!AB7&gt;0,'Location A'!AB7=0),LOWER($M$3),IF(AND('Location A'!AB7+'Location B'!AB7&lt;8.5,'Location A'!AB7+'Location B'!AB7&gt;0),"Both","Error"))))))</f>
        <v/>
      </c>
      <c r="AC8" s="41"/>
    </row>
    <row r="9" spans="1:34" x14ac:dyDescent="0.25">
      <c r="A9" s="25"/>
      <c r="B9" s="281"/>
      <c r="C9" s="152">
        <f>IF(AND(YEAR(July1OffSet+9)=BegCalYear,MONTH(July1OffSet+9)=7),July1OffSet+9,"")</f>
        <v>46209</v>
      </c>
      <c r="D9" s="177">
        <f>IF(AND(YEAR(July1OffSet+10)=BegCalYear,MONTH(July1OffSet+10)=7),July1OffSet+10,"")</f>
        <v>46210</v>
      </c>
      <c r="E9" s="177">
        <f>IF(AND(YEAR(July1OffSet+11)=BegCalYear,MONTH(July1OffSet+11)=7),July1OffSet+11,"")</f>
        <v>46211</v>
      </c>
      <c r="F9" s="177">
        <f>IF(AND(YEAR(July1OffSet+12)=BegCalYear,MONTH(July1OffSet+12)=7),July1OffSet+12,"")</f>
        <v>46212</v>
      </c>
      <c r="G9" s="178">
        <f>IF(AND(YEAR(July1OffSet+13)=BegCalYear,MONTH(July1OffSet+13)=7),July1OffSet+13,"")</f>
        <v>46213</v>
      </c>
      <c r="H9" s="153"/>
      <c r="I9" s="307"/>
      <c r="J9" s="152">
        <f>IF(AND(YEAR(OctOffSet+9)=BegCalYear,MONTH(OctOffSet+9)=10),OctOffSet+9,"")</f>
        <v>46300</v>
      </c>
      <c r="K9" s="177">
        <f>IF(AND(YEAR(OctOffSet+10)=BegCalYear,MONTH(OctOffSet+10)=10),OctOffSet+10,"")</f>
        <v>46301</v>
      </c>
      <c r="L9" s="177">
        <f>IF(AND(YEAR(OctOffSet+11)=BegCalYear,MONTH(OctOffSet+11)=10),OctOffSet+11,"")</f>
        <v>46302</v>
      </c>
      <c r="M9" s="177">
        <f>IF(AND(YEAR(OctOffSet+12)=BegCalYear,MONTH(OctOffSet+12)=10),OctOffSet+12,"")</f>
        <v>46303</v>
      </c>
      <c r="N9" s="178">
        <f>IF(AND(YEAR(OctOffSet+13)=BegCalYear,MONTH(OctOffSet+13)=10),OctOffSet+13,"")</f>
        <v>46304</v>
      </c>
      <c r="O9" s="151"/>
      <c r="P9" s="302"/>
      <c r="Q9" s="152">
        <f>IF(AND(YEAR(JanOffSet+9)=CalendarYear,MONTH(JanOffSet+9)=1),JanOffSet+9,"")</f>
        <v>46391</v>
      </c>
      <c r="R9" s="177">
        <f>IF(AND(YEAR(JanOffSet+10)=CalendarYear,MONTH(JanOffSet+10)=1),JanOffSet+10,"")</f>
        <v>46392</v>
      </c>
      <c r="S9" s="177">
        <f>IF(AND(YEAR(JanOffSet+11)=CalendarYear,MONTH(JanOffSet+11)=1),JanOffSet+11,"")</f>
        <v>46393</v>
      </c>
      <c r="T9" s="177">
        <f>IF(AND(YEAR(JanOffSet+12)=CalendarYear,MONTH(JanOffSet+12)=1),JanOffSet+12,"")</f>
        <v>46394</v>
      </c>
      <c r="U9" s="178">
        <f>IF(AND(YEAR(JanOffSet+13)=CalendarYear,MONTH(JanOffSet+13)=1),JanOffSet+13,"")</f>
        <v>46395</v>
      </c>
      <c r="V9" s="151"/>
      <c r="W9" s="307"/>
      <c r="X9" s="152">
        <f>IF(AND(YEAR(AprOffSet+9)=CalendarYear,MONTH(AprOffSet+9)=4),AprOffSet+9,"")</f>
        <v>46482</v>
      </c>
      <c r="Y9" s="177">
        <f>IF(AND(YEAR(AprOffSet+10)=CalendarYear,MONTH(AprOffSet+10)=4),AprOffSet+10,"")</f>
        <v>46483</v>
      </c>
      <c r="Z9" s="177">
        <f>IF(AND(YEAR(AprOffSet+11)=CalendarYear,MONTH(AprOffSet+11)=4),AprOffSet+11,"")</f>
        <v>46484</v>
      </c>
      <c r="AA9" s="177">
        <f>IF(AND(YEAR(AprOffSet+12)=CalendarYear,MONTH(AprOffSet+12)=4),AprOffSet+12,"")</f>
        <v>46485</v>
      </c>
      <c r="AB9" s="178">
        <f>IF(AND(YEAR(AprOffSet+13)=CalendarYear,MONTH(AprOffSet+13)=4),AprOffSet+13,"")</f>
        <v>46486</v>
      </c>
      <c r="AC9" s="41"/>
      <c r="AE9" s="1"/>
      <c r="AF9" s="1"/>
      <c r="AG9" s="1"/>
      <c r="AH9" s="1"/>
    </row>
    <row r="10" spans="1:34" ht="15" customHeight="1" x14ac:dyDescent="0.25">
      <c r="A10" s="24"/>
      <c r="B10" s="281"/>
      <c r="C10" s="154" t="str">
        <f>IF('Location A'!C9+'Location B'!C9=0,"",IF(AND('Location A'!C9&gt;=6,'Location B'!C9=0),UPPER($M$2),IF(AND('Location B'!C9&gt;=6,'Location A'!C9=0),UPPER($M$3),IF(AND('Location A'!C9&gt;0,'Location A'!C9&lt;6,'Location B'!C9=0),LOWER($M$2),IF(AND('Location B'!C9&lt;6,'Location B'!C9&gt;0,'Location A'!C9=0),LOWER($M$3),IF(AND('Location A'!C9+'Location B'!C9&lt;8.5,'Location A'!C9+'Location B'!C9&gt;0),"Both","Error"))))))</f>
        <v/>
      </c>
      <c r="D10" s="155" t="str">
        <f>IF('Location A'!D9+'Location B'!D9=0,"",IF(AND('Location A'!D9&gt;=6,'Location B'!D9=0),UPPER($M$2),IF(AND('Location B'!D9&gt;=6,'Location A'!D9=0),UPPER($M$3),IF(AND('Location A'!D9&gt;0,'Location A'!D9&lt;6,'Location B'!D9=0),LOWER($M$2),IF(AND('Location B'!D9&lt;6,'Location B'!D9&gt;0,'Location A'!D9=0),LOWER($M$3),IF(AND('Location A'!D9+'Location B'!D9&lt;8.5,'Location A'!D9+'Location B'!D9&gt;0),"Both","Error"))))))</f>
        <v/>
      </c>
      <c r="E10" s="155" t="str">
        <f>IF('Location A'!E9+'Location B'!E9=0,"",IF(AND('Location A'!E9&gt;=6,'Location B'!E9=0),UPPER($M$2),IF(AND('Location B'!E9&gt;=6,'Location A'!E9=0),UPPER($M$3),IF(AND('Location A'!E9&gt;0,'Location A'!E9&lt;6,'Location B'!E9=0),LOWER($M$2),IF(AND('Location B'!E9&lt;6,'Location B'!E9&gt;0,'Location A'!E9=0),LOWER($M$3),IF(AND('Location A'!E9+'Location B'!E9&lt;8.5,'Location A'!E9+'Location B'!E9&gt;0),"Both","Error"))))))</f>
        <v/>
      </c>
      <c r="F10" s="155" t="str">
        <f>IF('Location A'!F9+'Location B'!F9=0,"",IF(AND('Location A'!F9&gt;=6,'Location B'!F9=0),UPPER($M$2),IF(AND('Location B'!F9&gt;=6,'Location A'!F9=0),UPPER($M$3),IF(AND('Location A'!F9&gt;0,'Location A'!F9&lt;6,'Location B'!F9=0),LOWER($M$2),IF(AND('Location B'!F9&lt;6,'Location B'!F9&gt;0,'Location A'!F9=0),LOWER($M$3),IF(AND('Location A'!F9+'Location B'!F9&lt;8.5,'Location A'!F9+'Location B'!F9&gt;0),"Both","Error"))))))</f>
        <v/>
      </c>
      <c r="G10" s="156" t="str">
        <f>IF('Location A'!G9+'Location B'!G9=0,"",IF(AND('Location A'!G9&gt;=6,'Location B'!G9=0),UPPER($M$2),IF(AND('Location B'!G9&gt;=6,'Location A'!G9=0),UPPER($M$3),IF(AND('Location A'!G9&gt;0,'Location A'!G9&lt;6,'Location B'!G9=0),LOWER($M$2),IF(AND('Location B'!G9&lt;6,'Location B'!G9&gt;0,'Location A'!G9=0),LOWER($M$3),IF(AND('Location A'!G9+'Location B'!G9&lt;8.5,'Location A'!G9+'Location B'!G9&gt;0),"Both","Error"))))))</f>
        <v/>
      </c>
      <c r="H10" s="153"/>
      <c r="I10" s="307"/>
      <c r="J10" s="154" t="str">
        <f>IF('Location A'!J9+'Location B'!J9=0,"",IF(AND('Location A'!J9&gt;=6,'Location B'!J9=0),UPPER($M$2),IF(AND('Location B'!J9&gt;=6,'Location A'!J9=0),UPPER($M$3),IF(AND('Location A'!J9&gt;0,'Location A'!J9&lt;6,'Location B'!J9=0),LOWER($M$2),IF(AND('Location B'!J9&lt;6,'Location B'!J9&gt;0,'Location A'!J9=0),LOWER($M$3),IF(AND('Location A'!J9+'Location B'!J9&lt;8.5,'Location A'!J9+'Location B'!J9&gt;0),"Both","Error"))))))</f>
        <v/>
      </c>
      <c r="K10" s="155" t="str">
        <f>IF('Location A'!K9+'Location B'!K9=0,"",IF(AND('Location A'!K9&gt;=6,'Location B'!K9=0),UPPER($M$2),IF(AND('Location B'!K9&gt;=6,'Location A'!K9=0),UPPER($M$3),IF(AND('Location A'!K9&gt;0,'Location A'!K9&lt;6,'Location B'!K9=0),LOWER($M$2),IF(AND('Location B'!K9&lt;6,'Location B'!K9&gt;0,'Location A'!K9=0),LOWER($M$3),IF(AND('Location A'!K9+'Location B'!K9&lt;8.5,'Location A'!K9+'Location B'!K9&gt;0),"Both","Error"))))))</f>
        <v/>
      </c>
      <c r="L10" s="155" t="str">
        <f>IF('Location A'!L9+'Location B'!L9=0,"",IF(AND('Location A'!L9&gt;=6,'Location B'!L9=0),UPPER($M$2),IF(AND('Location B'!L9&gt;=6,'Location A'!L9=0),UPPER($M$3),IF(AND('Location A'!L9&gt;0,'Location A'!L9&lt;6,'Location B'!L9=0),LOWER($M$2),IF(AND('Location B'!L9&lt;6,'Location B'!L9&gt;0,'Location A'!L9=0),LOWER($M$3),IF(AND('Location A'!L9+'Location B'!L9&lt;8.5,'Location A'!L9+'Location B'!L9&gt;0),"Both","Error"))))))</f>
        <v/>
      </c>
      <c r="M10" s="155" t="str">
        <f>IF('Location A'!M9+'Location B'!M9=0,"",IF(AND('Location A'!M9&gt;=6,'Location B'!M9=0),UPPER($M$2),IF(AND('Location B'!M9&gt;=6,'Location A'!M9=0),UPPER($M$3),IF(AND('Location A'!M9&gt;0,'Location A'!M9&lt;6,'Location B'!M9=0),LOWER($M$2),IF(AND('Location B'!M9&lt;6,'Location B'!M9&gt;0,'Location A'!M9=0),LOWER($M$3),IF(AND('Location A'!M9+'Location B'!M9&lt;8.5,'Location A'!M9+'Location B'!M9&gt;0),"Both","Error"))))))</f>
        <v/>
      </c>
      <c r="N10" s="156" t="str">
        <f>IF('Location A'!N9+'Location B'!N9=0,"",IF(AND('Location A'!N9&gt;=6,'Location B'!N9=0),UPPER($M$2),IF(AND('Location B'!N9&gt;=6,'Location A'!N9=0),UPPER($M$3),IF(AND('Location A'!N9&gt;0,'Location A'!N9&lt;6,'Location B'!N9=0),LOWER($M$2),IF(AND('Location B'!N9&lt;6,'Location B'!N9&gt;0,'Location A'!N9=0),LOWER($M$3),IF(AND('Location A'!N9+'Location B'!N9&lt;8.5,'Location A'!N9+'Location B'!N9&gt;0),"Both","Error"))))))</f>
        <v/>
      </c>
      <c r="O10" s="150"/>
      <c r="P10" s="302"/>
      <c r="Q10" s="154" t="str">
        <f>IF('Location A'!Q9+'Location B'!Q9=0,"",IF(AND('Location A'!Q9&gt;=6,'Location B'!Q9=0),UPPER($M$2),IF(AND('Location B'!Q9&gt;=6,'Location A'!Q9=0),UPPER($M$3),IF(AND('Location A'!Q9&gt;0,'Location A'!Q9&lt;6,'Location B'!Q9=0),LOWER($M$2),IF(AND('Location B'!Q9&lt;6,'Location B'!Q9&gt;0,'Location A'!Q9=0),LOWER($M$3),IF(AND('Location A'!Q9+'Location B'!Q9&lt;8.5,'Location A'!Q9+'Location B'!Q9&gt;0),"Both","Error"))))))</f>
        <v/>
      </c>
      <c r="R10" s="155" t="str">
        <f>IF('Location A'!R9+'Location B'!R9=0,"",IF(AND('Location A'!R9&gt;=6,'Location B'!R9=0),UPPER($M$2),IF(AND('Location B'!R9&gt;=6,'Location A'!R9=0),UPPER($M$3),IF(AND('Location A'!R9&gt;0,'Location A'!R9&lt;6,'Location B'!R9=0),LOWER($M$2),IF(AND('Location B'!R9&lt;6,'Location B'!R9&gt;0,'Location A'!R9=0),LOWER($M$3),IF(AND('Location A'!R9+'Location B'!R9&lt;8.5,'Location A'!R9+'Location B'!R9&gt;0),"Both","Error"))))))</f>
        <v/>
      </c>
      <c r="S10" s="155" t="str">
        <f>IF('Location A'!S9+'Location B'!S9=0,"",IF(AND('Location A'!S9&gt;=6,'Location B'!S9=0),UPPER($M$2),IF(AND('Location B'!S9&gt;=6,'Location A'!S9=0),UPPER($M$3),IF(AND('Location A'!S9&gt;0,'Location A'!S9&lt;6,'Location B'!S9=0),LOWER($M$2),IF(AND('Location B'!S9&lt;6,'Location B'!S9&gt;0,'Location A'!S9=0),LOWER($M$3),IF(AND('Location A'!S9+'Location B'!S9&lt;8.5,'Location A'!S9+'Location B'!S9&gt;0),"Both","Error"))))))</f>
        <v/>
      </c>
      <c r="T10" s="155" t="str">
        <f>IF('Location A'!T9+'Location B'!T9=0,"",IF(AND('Location A'!T9&gt;=6,'Location B'!T9=0),UPPER($M$2),IF(AND('Location B'!T9&gt;=6,'Location A'!T9=0),UPPER($M$3),IF(AND('Location A'!T9&gt;0,'Location A'!T9&lt;6,'Location B'!T9=0),LOWER($M$2),IF(AND('Location B'!T9&lt;6,'Location B'!T9&gt;0,'Location A'!T9=0),LOWER($M$3),IF(AND('Location A'!T9+'Location B'!T9&lt;8.5,'Location A'!T9+'Location B'!T9&gt;0),"Both","Error"))))))</f>
        <v/>
      </c>
      <c r="U10" s="156" t="str">
        <f>IF('Location A'!U9+'Location B'!U9=0,"",IF(AND('Location A'!U9&gt;=6,'Location B'!U9=0),UPPER($M$2),IF(AND('Location B'!U9&gt;=6,'Location A'!U9=0),UPPER($M$3),IF(AND('Location A'!U9&gt;0,'Location A'!U9&lt;6,'Location B'!U9=0),LOWER($M$2),IF(AND('Location B'!U9&lt;6,'Location B'!U9&gt;0,'Location A'!U9=0),LOWER($M$3),IF(AND('Location A'!U9+'Location B'!U9&lt;8.5,'Location A'!U9+'Location B'!U9&gt;0),"Both","Error"))))))</f>
        <v/>
      </c>
      <c r="V10" s="151"/>
      <c r="W10" s="307"/>
      <c r="X10" s="154" t="str">
        <f>IF('Location A'!X9+'Location B'!X9=0,"",IF(AND('Location A'!X9&gt;=6,'Location B'!X9=0),UPPER($M$2),IF(AND('Location B'!X9&gt;=6,'Location A'!X9=0),UPPER($M$3),IF(AND('Location A'!X9&gt;0,'Location A'!X9&lt;6,'Location B'!X9=0),LOWER($M$2),IF(AND('Location B'!X9&lt;6,'Location B'!X9&gt;0,'Location A'!X9=0),LOWER($M$3),IF(AND('Location A'!X9+'Location B'!X9&lt;8.5,'Location A'!X9+'Location B'!X9&gt;0),"Both","Error"))))))</f>
        <v/>
      </c>
      <c r="Y10" s="155" t="str">
        <f>IF('Location A'!Y9+'Location B'!Y9=0,"",IF(AND('Location A'!Y9&gt;=6,'Location B'!Y9=0),UPPER($M$2),IF(AND('Location B'!Y9&gt;=6,'Location A'!Y9=0),UPPER($M$3),IF(AND('Location A'!Y9&gt;0,'Location A'!Y9&lt;6,'Location B'!Y9=0),LOWER($M$2),IF(AND('Location B'!Y9&lt;6,'Location B'!Y9&gt;0,'Location A'!Y9=0),LOWER($M$3),IF(AND('Location A'!Y9+'Location B'!Y9&lt;8.5,'Location A'!Y9+'Location B'!Y9&gt;0),"Both","Error"))))))</f>
        <v/>
      </c>
      <c r="Z10" s="155" t="str">
        <f>IF('Location A'!Z9+'Location B'!Z9=0,"",IF(AND('Location A'!Z9&gt;=6,'Location B'!Z9=0),UPPER($M$2),IF(AND('Location B'!Z9&gt;=6,'Location A'!Z9=0),UPPER($M$3),IF(AND('Location A'!Z9&gt;0,'Location A'!Z9&lt;6,'Location B'!Z9=0),LOWER($M$2),IF(AND('Location B'!Z9&lt;6,'Location B'!Z9&gt;0,'Location A'!Z9=0),LOWER($M$3),IF(AND('Location A'!Z9+'Location B'!Z9&lt;8.5,'Location A'!Z9+'Location B'!Z9&gt;0),"Both","Error"))))))</f>
        <v/>
      </c>
      <c r="AA10" s="155" t="str">
        <f>IF('Location A'!AA9+'Location B'!AA9=0,"",IF(AND('Location A'!AA9&gt;=6,'Location B'!AA9=0),UPPER($M$2),IF(AND('Location B'!AA9&gt;=6,'Location A'!AA9=0),UPPER($M$3),IF(AND('Location A'!AA9&gt;0,'Location A'!AA9&lt;6,'Location B'!AA9=0),LOWER($M$2),IF(AND('Location B'!AA9&lt;6,'Location B'!AA9&gt;0,'Location A'!AA9=0),LOWER($M$3),IF(AND('Location A'!AA9+'Location B'!AA9&lt;8.5,'Location A'!AA9+'Location B'!AA9&gt;0),"Both","Error"))))))</f>
        <v/>
      </c>
      <c r="AB10" s="156" t="str">
        <f>IF('Location A'!AB9+'Location B'!AB9=0,"",IF(AND('Location A'!AB9&gt;=6,'Location B'!AB9=0),UPPER($M$2),IF(AND('Location B'!AB9&gt;=6,'Location A'!AB9=0),UPPER($M$3),IF(AND('Location A'!AB9&gt;0,'Location A'!AB9&lt;6,'Location B'!AB9=0),LOWER($M$2),IF(AND('Location B'!AB9&lt;6,'Location B'!AB9&gt;0,'Location A'!AB9=0),LOWER($M$3),IF(AND('Location A'!AB9+'Location B'!AB9&lt;8.5,'Location A'!AB9+'Location B'!AB9&gt;0),"Both","Error"))))))</f>
        <v/>
      </c>
      <c r="AC10" s="41"/>
    </row>
    <row r="11" spans="1:34" x14ac:dyDescent="0.25">
      <c r="A11" s="50"/>
      <c r="B11" s="281"/>
      <c r="C11" s="152">
        <f>IF(AND(YEAR(July1OffSet+16)=BegCalYear,MONTH(July1OffSet+16)=7),July1OffSet+16,"")</f>
        <v>46216</v>
      </c>
      <c r="D11" s="177">
        <f>IF(AND(YEAR(July1OffSet+17)=BegCalYear,MONTH(July1OffSet+17)=7),July1OffSet+17,"")</f>
        <v>46217</v>
      </c>
      <c r="E11" s="177">
        <f>IF(AND(YEAR(July1OffSet+18)=BegCalYear,MONTH(July1OffSet+18)=7),July1OffSet+18,"")</f>
        <v>46218</v>
      </c>
      <c r="F11" s="177">
        <f>IF(AND(YEAR(July1OffSet+19)=BegCalYear,MONTH(July1OffSet+19)=7),July1OffSet+19,"")</f>
        <v>46219</v>
      </c>
      <c r="G11" s="178">
        <f>IF(AND(YEAR(July1OffSet+20)=BegCalYear,MONTH(July1OffSet+20)=7),July1OffSet+20,"")</f>
        <v>46220</v>
      </c>
      <c r="H11" s="153"/>
      <c r="I11" s="307"/>
      <c r="J11" s="152">
        <f>IF(AND(YEAR(OctOffSet+16)=BegCalYear,MONTH(OctOffSet+16)=10),OctOffSet+16,"")</f>
        <v>46307</v>
      </c>
      <c r="K11" s="177">
        <f>IF(AND(YEAR(OctOffSet+17)=BegCalYear,MONTH(OctOffSet+17)=10),OctOffSet+17,"")</f>
        <v>46308</v>
      </c>
      <c r="L11" s="177">
        <f>IF(AND(YEAR(OctOffSet+18)=BegCalYear,MONTH(OctOffSet+18)=10),OctOffSet+18,"")</f>
        <v>46309</v>
      </c>
      <c r="M11" s="177">
        <f>IF(AND(YEAR(OctOffSet+19)=BegCalYear,MONTH(OctOffSet+19)=10),OctOffSet+19,"")</f>
        <v>46310</v>
      </c>
      <c r="N11" s="178">
        <f>IF(AND(YEAR(OctOffSet+20)=BegCalYear,MONTH(OctOffSet+20)=10),OctOffSet+20,"")</f>
        <v>46311</v>
      </c>
      <c r="O11" s="151"/>
      <c r="P11" s="302"/>
      <c r="Q11" s="152">
        <f>IF(AND(YEAR(JanOffSet+16)=CalendarYear,MONTH(JanOffSet+16)=1),JanOffSet+16,"")</f>
        <v>46398</v>
      </c>
      <c r="R11" s="177">
        <f>IF(AND(YEAR(JanOffSet+17)=CalendarYear,MONTH(JanOffSet+17)=1),JanOffSet+17,"")</f>
        <v>46399</v>
      </c>
      <c r="S11" s="177">
        <f>IF(AND(YEAR(JanOffSet+18)=CalendarYear,MONTH(JanOffSet+18)=1),JanOffSet+18,"")</f>
        <v>46400</v>
      </c>
      <c r="T11" s="177">
        <f>IF(AND(YEAR(JanOffSet+19)=CalendarYear,MONTH(JanOffSet+19)=1),JanOffSet+19,"")</f>
        <v>46401</v>
      </c>
      <c r="U11" s="178">
        <f>IF(AND(YEAR(JanOffSet+20)=CalendarYear,MONTH(JanOffSet+20)=1),JanOffSet+20,"")</f>
        <v>46402</v>
      </c>
      <c r="V11" s="151"/>
      <c r="W11" s="307"/>
      <c r="X11" s="152">
        <f>IF(AND(YEAR(AprOffSet+16)=CalendarYear,MONTH(AprOffSet+16)=4),AprOffSet+16,"")</f>
        <v>46489</v>
      </c>
      <c r="Y11" s="177">
        <f>IF(AND(YEAR(AprOffSet+17)=CalendarYear,MONTH(AprOffSet+17)=4),AprOffSet+17,"")</f>
        <v>46490</v>
      </c>
      <c r="Z11" s="177">
        <f>IF(AND(YEAR(AprOffSet+18)=CalendarYear,MONTH(AprOffSet+18)=4),AprOffSet+18,"")</f>
        <v>46491</v>
      </c>
      <c r="AA11" s="177">
        <f>IF(AND(YEAR(AprOffSet+19)=CalendarYear,MONTH(AprOffSet+19)=4),AprOffSet+19,"")</f>
        <v>46492</v>
      </c>
      <c r="AB11" s="178">
        <f>IF(AND(YEAR(AprOffSet+20)=CalendarYear,MONTH(AprOffSet+20)=4),AprOffSet+20,"")</f>
        <v>46493</v>
      </c>
      <c r="AC11" s="41"/>
    </row>
    <row r="12" spans="1:34" x14ac:dyDescent="0.25">
      <c r="A12" s="50"/>
      <c r="B12" s="281"/>
      <c r="C12" s="154" t="str">
        <f>IF('Location A'!C11+'Location B'!C11=0,"",IF(AND('Location A'!C11&gt;=6,'Location B'!C11=0),UPPER($M$2),IF(AND('Location B'!C11&gt;=6,'Location A'!C11=0),UPPER($M$3),IF(AND('Location A'!C11&gt;0,'Location A'!C11&lt;6,'Location B'!C11=0),LOWER($M$2),IF(AND('Location B'!C11&lt;6,'Location B'!C11&gt;0,'Location A'!C11=0),LOWER($M$3),IF(AND('Location A'!C11+'Location B'!C11&lt;8.5,'Location A'!C11+'Location B'!C11&gt;0),"Both","Error"))))))</f>
        <v/>
      </c>
      <c r="D12" s="155" t="str">
        <f>IF('Location A'!D11+'Location B'!D11=0,"",IF(AND('Location A'!D11&gt;=6,'Location B'!D11=0),UPPER($M$2),IF(AND('Location B'!D11&gt;=6,'Location A'!D11=0),UPPER($M$3),IF(AND('Location A'!D11&gt;0,'Location A'!D11&lt;6,'Location B'!D11=0),LOWER($M$2),IF(AND('Location B'!D11&lt;6,'Location B'!D11&gt;0,'Location A'!D11=0),LOWER($M$3),IF(AND('Location A'!D11+'Location B'!D11&lt;8.5,'Location A'!D11+'Location B'!D11&gt;0),"Both","Error"))))))</f>
        <v/>
      </c>
      <c r="E12" s="155" t="str">
        <f>IF('Location A'!E11+'Location B'!E11=0,"",IF(AND('Location A'!E11&gt;=6,'Location B'!E11=0),UPPER($M$2),IF(AND('Location B'!E11&gt;=6,'Location A'!E11=0),UPPER($M$3),IF(AND('Location A'!E11&gt;0,'Location A'!E11&lt;6,'Location B'!E11=0),LOWER($M$2),IF(AND('Location B'!E11&lt;6,'Location B'!E11&gt;0,'Location A'!E11=0),LOWER($M$3),IF(AND('Location A'!E11+'Location B'!E11&lt;8.5,'Location A'!E11+'Location B'!E11&gt;0),"Both","Error"))))))</f>
        <v/>
      </c>
      <c r="F12" s="155" t="str">
        <f>IF('Location A'!F11+'Location B'!F11=0,"",IF(AND('Location A'!F11&gt;=6,'Location B'!F11=0),UPPER($M$2),IF(AND('Location B'!F11&gt;=6,'Location A'!F11=0),UPPER($M$3),IF(AND('Location A'!F11&gt;0,'Location A'!F11&lt;6,'Location B'!F11=0),LOWER($M$2),IF(AND('Location B'!F11&lt;6,'Location B'!F11&gt;0,'Location A'!F11=0),LOWER($M$3),IF(AND('Location A'!F11+'Location B'!F11&lt;8.5,'Location A'!F11+'Location B'!F11&gt;0),"Both","Error"))))))</f>
        <v/>
      </c>
      <c r="G12" s="156" t="str">
        <f>IF('Location A'!G11+'Location B'!G11=0,"",IF(AND('Location A'!G11&gt;=6,'Location B'!G11=0),UPPER($M$2),IF(AND('Location B'!G11&gt;=6,'Location A'!G11=0),UPPER($M$3),IF(AND('Location A'!G11&gt;0,'Location A'!G11&lt;6,'Location B'!G11=0),LOWER($M$2),IF(AND('Location B'!G11&lt;6,'Location B'!G11&gt;0,'Location A'!G11=0),LOWER($M$3),IF(AND('Location A'!G11+'Location B'!G11&lt;8.5,'Location A'!G11+'Location B'!G11&gt;0),"Both","Error"))))))</f>
        <v/>
      </c>
      <c r="H12" s="151"/>
      <c r="I12" s="307"/>
      <c r="J12" s="154" t="str">
        <f>IF('Location A'!J11+'Location B'!J11=0,"",IF(AND('Location A'!J11&gt;=6,'Location B'!J11=0),UPPER($M$2),IF(AND('Location B'!J11&gt;=6,'Location A'!J11=0),UPPER($M$3),IF(AND('Location A'!J11&gt;0,'Location A'!J11&lt;6,'Location B'!J11=0),LOWER($M$2),IF(AND('Location B'!J11&lt;6,'Location B'!J11&gt;0,'Location A'!J11=0),LOWER($M$3),IF(AND('Location A'!J11+'Location B'!J11&lt;8.5,'Location A'!J11+'Location B'!J11&gt;0),"Both","Error"))))))</f>
        <v/>
      </c>
      <c r="K12" s="155" t="str">
        <f>IF('Location A'!K11+'Location B'!K11=0,"",IF(AND('Location A'!K11&gt;=6,'Location B'!K11=0),UPPER($M$2),IF(AND('Location B'!K11&gt;=6,'Location A'!K11=0),UPPER($M$3),IF(AND('Location A'!K11&gt;0,'Location A'!K11&lt;6,'Location B'!K11=0),LOWER($M$2),IF(AND('Location B'!K11&lt;6,'Location B'!K11&gt;0,'Location A'!K11=0),LOWER($M$3),IF(AND('Location A'!K11+'Location B'!K11&lt;8.5,'Location A'!K11+'Location B'!K11&gt;0),"Both","Error"))))))</f>
        <v/>
      </c>
      <c r="L12" s="155" t="str">
        <f>IF('Location A'!L11+'Location B'!L11=0,"",IF(AND('Location A'!L11&gt;=6,'Location B'!L11=0),UPPER($M$2),IF(AND('Location B'!L11&gt;=6,'Location A'!L11=0),UPPER($M$3),IF(AND('Location A'!L11&gt;0,'Location A'!L11&lt;6,'Location B'!L11=0),LOWER($M$2),IF(AND('Location B'!L11&lt;6,'Location B'!L11&gt;0,'Location A'!L11=0),LOWER($M$3),IF(AND('Location A'!L11+'Location B'!L11&lt;8.5,'Location A'!L11+'Location B'!L11&gt;0),"Both","Error"))))))</f>
        <v/>
      </c>
      <c r="M12" s="155" t="str">
        <f>IF('Location A'!M11+'Location B'!M11=0,"",IF(AND('Location A'!M11&gt;=6,'Location B'!M11=0),UPPER($M$2),IF(AND('Location B'!M11&gt;=6,'Location A'!M11=0),UPPER($M$3),IF(AND('Location A'!M11&gt;0,'Location A'!M11&lt;6,'Location B'!M11=0),LOWER($M$2),IF(AND('Location B'!M11&lt;6,'Location B'!M11&gt;0,'Location A'!M11=0),LOWER($M$3),IF(AND('Location A'!M11+'Location B'!M11&lt;8.5,'Location A'!M11+'Location B'!M11&gt;0),"Both","Error"))))))</f>
        <v/>
      </c>
      <c r="N12" s="156" t="str">
        <f>IF('Location A'!N11+'Location B'!N11=0,"",IF(AND('Location A'!N11&gt;=6,'Location B'!N11=0),UPPER($M$2),IF(AND('Location B'!N11&gt;=6,'Location A'!N11=0),UPPER($M$3),IF(AND('Location A'!N11&gt;0,'Location A'!N11&lt;6,'Location B'!N11=0),LOWER($M$2),IF(AND('Location B'!N11&lt;6,'Location B'!N11&gt;0,'Location A'!N11=0),LOWER($M$3),IF(AND('Location A'!N11+'Location B'!N11&lt;8.5,'Location A'!N11+'Location B'!N11&gt;0),"Both","Error"))))))</f>
        <v/>
      </c>
      <c r="O12" s="151"/>
      <c r="P12" s="302"/>
      <c r="Q12" s="154" t="str">
        <f>IF('Location A'!Q11+'Location B'!Q11=0,"",IF(AND('Location A'!Q11&gt;=6,'Location B'!Q11=0),UPPER($M$2),IF(AND('Location B'!Q11&gt;=6,'Location A'!Q11=0),UPPER($M$3),IF(AND('Location A'!Q11&gt;0,'Location A'!Q11&lt;6,'Location B'!Q11=0),LOWER($M$2),IF(AND('Location B'!Q11&lt;6,'Location B'!Q11&gt;0,'Location A'!Q11=0),LOWER($M$3),IF(AND('Location A'!Q11+'Location B'!Q11&lt;8.5,'Location A'!Q11+'Location B'!Q11&gt;0),"Both","Error"))))))</f>
        <v/>
      </c>
      <c r="R12" s="155" t="str">
        <f>IF('Location A'!R11+'Location B'!R11=0,"",IF(AND('Location A'!R11&gt;=6,'Location B'!R11=0),UPPER($M$2),IF(AND('Location B'!R11&gt;=6,'Location A'!R11=0),UPPER($M$3),IF(AND('Location A'!R11&gt;0,'Location A'!R11&lt;6,'Location B'!R11=0),LOWER($M$2),IF(AND('Location B'!R11&lt;6,'Location B'!R11&gt;0,'Location A'!R11=0),LOWER($M$3),IF(AND('Location A'!R11+'Location B'!R11&lt;8.5,'Location A'!R11+'Location B'!R11&gt;0),"Both","Error"))))))</f>
        <v/>
      </c>
      <c r="S12" s="155" t="str">
        <f>IF('Location A'!S11+'Location B'!S11=0,"",IF(AND('Location A'!S11&gt;=6,'Location B'!S11=0),UPPER($M$2),IF(AND('Location B'!S11&gt;=6,'Location A'!S11=0),UPPER($M$3),IF(AND('Location A'!S11&gt;0,'Location A'!S11&lt;6,'Location B'!S11=0),LOWER($M$2),IF(AND('Location B'!S11&lt;6,'Location B'!S11&gt;0,'Location A'!S11=0),LOWER($M$3),IF(AND('Location A'!S11+'Location B'!S11&lt;8.5,'Location A'!S11+'Location B'!S11&gt;0),"Both","Error"))))))</f>
        <v/>
      </c>
      <c r="T12" s="155" t="str">
        <f>IF('Location A'!T11+'Location B'!T11=0,"",IF(AND('Location A'!T11&gt;=6,'Location B'!T11=0),UPPER($M$2),IF(AND('Location B'!T11&gt;=6,'Location A'!T11=0),UPPER($M$3),IF(AND('Location A'!T11&gt;0,'Location A'!T11&lt;6,'Location B'!T11=0),LOWER($M$2),IF(AND('Location B'!T11&lt;6,'Location B'!T11&gt;0,'Location A'!T11=0),LOWER($M$3),IF(AND('Location A'!T11+'Location B'!T11&lt;8.5,'Location A'!T11+'Location B'!T11&gt;0),"Both","Error"))))))</f>
        <v/>
      </c>
      <c r="U12" s="156" t="str">
        <f>IF('Location A'!U11+'Location B'!U11=0,"",IF(AND('Location A'!U11&gt;=6,'Location B'!U11=0),UPPER($M$2),IF(AND('Location B'!U11&gt;=6,'Location A'!U11=0),UPPER($M$3),IF(AND('Location A'!U11&gt;0,'Location A'!U11&lt;6,'Location B'!U11=0),LOWER($M$2),IF(AND('Location B'!U11&lt;6,'Location B'!U11&gt;0,'Location A'!U11=0),LOWER($M$3),IF(AND('Location A'!U11+'Location B'!U11&lt;8.5,'Location A'!U11+'Location B'!U11&gt;0),"Both","Error"))))))</f>
        <v/>
      </c>
      <c r="V12" s="157"/>
      <c r="W12" s="307"/>
      <c r="X12" s="154" t="str">
        <f>IF('Location A'!X11+'Location B'!X11=0,"",IF(AND('Location A'!X11&gt;=6,'Location B'!X11=0),UPPER($M$2),IF(AND('Location B'!X11&gt;=6,'Location A'!X11=0),UPPER($M$3),IF(AND('Location A'!X11&gt;0,'Location A'!X11&lt;6,'Location B'!X11=0),LOWER($M$2),IF(AND('Location B'!X11&lt;6,'Location B'!X11&gt;0,'Location A'!X11=0),LOWER($M$3),IF(AND('Location A'!X11+'Location B'!X11&lt;8.5,'Location A'!X11+'Location B'!X11&gt;0),"Both","Error"))))))</f>
        <v/>
      </c>
      <c r="Y12" s="155" t="str">
        <f>IF('Location A'!Y11+'Location B'!Y11=0,"",IF(AND('Location A'!Y11&gt;=6,'Location B'!Y11=0),UPPER($M$2),IF(AND('Location B'!Y11&gt;=6,'Location A'!Y11=0),UPPER($M$3),IF(AND('Location A'!Y11&gt;0,'Location A'!Y11&lt;6,'Location B'!Y11=0),LOWER($M$2),IF(AND('Location B'!Y11&lt;6,'Location B'!Y11&gt;0,'Location A'!Y11=0),LOWER($M$3),IF(AND('Location A'!Y11+'Location B'!Y11&lt;8.5,'Location A'!Y11+'Location B'!Y11&gt;0),"Both","Error"))))))</f>
        <v/>
      </c>
      <c r="Z12" s="155" t="str">
        <f>IF('Location A'!Z11+'Location B'!Z11=0,"",IF(AND('Location A'!Z11&gt;=6,'Location B'!Z11=0),UPPER($M$2),IF(AND('Location B'!Z11&gt;=6,'Location A'!Z11=0),UPPER($M$3),IF(AND('Location A'!Z11&gt;0,'Location A'!Z11&lt;6,'Location B'!Z11=0),LOWER($M$2),IF(AND('Location B'!Z11&lt;6,'Location B'!Z11&gt;0,'Location A'!Z11=0),LOWER($M$3),IF(AND('Location A'!Z11+'Location B'!Z11&lt;8.5,'Location A'!Z11+'Location B'!Z11&gt;0),"Both","Error"))))))</f>
        <v/>
      </c>
      <c r="AA12" s="155" t="str">
        <f>IF('Location A'!AA11+'Location B'!AA11=0,"",IF(AND('Location A'!AA11&gt;=6,'Location B'!AA11=0),UPPER($M$2),IF(AND('Location B'!AA11&gt;=6,'Location A'!AA11=0),UPPER($M$3),IF(AND('Location A'!AA11&gt;0,'Location A'!AA11&lt;6,'Location B'!AA11=0),LOWER($M$2),IF(AND('Location B'!AA11&lt;6,'Location B'!AA11&gt;0,'Location A'!AA11=0),LOWER($M$3),IF(AND('Location A'!AA11+'Location B'!AA11&lt;8.5,'Location A'!AA11+'Location B'!AA11&gt;0),"Both","Error"))))))</f>
        <v/>
      </c>
      <c r="AB12" s="156" t="str">
        <f>IF('Location A'!AB11+'Location B'!AB11=0,"",IF(AND('Location A'!AB11&gt;=6,'Location B'!AB11=0),UPPER($M$2),IF(AND('Location B'!AB11&gt;=6,'Location A'!AB11=0),UPPER($M$3),IF(AND('Location A'!AB11&gt;0,'Location A'!AB11&lt;6,'Location B'!AB11=0),LOWER($M$2),IF(AND('Location B'!AB11&lt;6,'Location B'!AB11&gt;0,'Location A'!AB11=0),LOWER($M$3),IF(AND('Location A'!AB11+'Location B'!AB11&lt;8.5,'Location A'!AB11+'Location B'!AB11&gt;0),"Both","Error"))))))</f>
        <v/>
      </c>
      <c r="AC12" s="42"/>
    </row>
    <row r="13" spans="1:34" x14ac:dyDescent="0.25">
      <c r="A13" s="50"/>
      <c r="B13" s="281"/>
      <c r="C13" s="152">
        <f>IF(AND(YEAR(July1OffSet+23)=BegCalYear,MONTH(July1OffSet+23)=7),July1OffSet+23,"")</f>
        <v>46223</v>
      </c>
      <c r="D13" s="177">
        <f>IF(AND(YEAR(July1OffSet+24)=BegCalYear,MONTH(July1OffSet+24)=7),July1OffSet+24,"")</f>
        <v>46224</v>
      </c>
      <c r="E13" s="177">
        <f>IF(AND(YEAR(July1OffSet+25)=BegCalYear,MONTH(July1OffSet+25)=7),July1OffSet+25,"")</f>
        <v>46225</v>
      </c>
      <c r="F13" s="177">
        <f>IF(AND(YEAR(July1OffSet+26)=BegCalYear,MONTH(July1OffSet+26)=7),July1OffSet+26,"")</f>
        <v>46226</v>
      </c>
      <c r="G13" s="178">
        <f>IF(AND(YEAR(July1OffSet+27)=BegCalYear,MONTH(July1OffSet+27)=7),July1OffSet+27,"")</f>
        <v>46227</v>
      </c>
      <c r="H13" s="151"/>
      <c r="I13" s="307"/>
      <c r="J13" s="152">
        <f>IF(AND(YEAR(OctOffSet+23)=BegCalYear,MONTH(OctOffSet+23)=10),OctOffSet+23,"")</f>
        <v>46314</v>
      </c>
      <c r="K13" s="177">
        <f>IF(AND(YEAR(OctOffSet+24)=BegCalYear,MONTH(OctOffSet+24)=10),OctOffSet+24,"")</f>
        <v>46315</v>
      </c>
      <c r="L13" s="177">
        <f>IF(AND(YEAR(OctOffSet+25)=BegCalYear,MONTH(OctOffSet+25)=10),OctOffSet+25,"")</f>
        <v>46316</v>
      </c>
      <c r="M13" s="177">
        <f>IF(AND(YEAR(OctOffSet+26)=BegCalYear,MONTH(OctOffSet+26)=10),OctOffSet+26,"")</f>
        <v>46317</v>
      </c>
      <c r="N13" s="178">
        <f>IF(AND(YEAR(OctOffSet+27)=BegCalYear,MONTH(OctOffSet+27)=10),OctOffSet+27,"")</f>
        <v>46318</v>
      </c>
      <c r="O13" s="151"/>
      <c r="P13" s="302"/>
      <c r="Q13" s="152">
        <f>IF(AND(YEAR(JanOffSet+23)=CalendarYear,MONTH(JanOffSet+23)=1),JanOffSet+23,"")</f>
        <v>46405</v>
      </c>
      <c r="R13" s="177">
        <f>IF(AND(YEAR(JanOffSet+24)=CalendarYear,MONTH(JanOffSet+24)=1),JanOffSet+24,"")</f>
        <v>46406</v>
      </c>
      <c r="S13" s="177">
        <f>IF(AND(YEAR(JanOffSet+25)=CalendarYear,MONTH(JanOffSet+25)=1),JanOffSet+25,"")</f>
        <v>46407</v>
      </c>
      <c r="T13" s="177">
        <f>IF(AND(YEAR(JanOffSet+26)=CalendarYear,MONTH(JanOffSet+26)=1),JanOffSet+26,"")</f>
        <v>46408</v>
      </c>
      <c r="U13" s="178">
        <f>IF(AND(YEAR(JanOffSet+27)=CalendarYear,MONTH(JanOffSet+27)=1),JanOffSet+27,"")</f>
        <v>46409</v>
      </c>
      <c r="V13" s="151"/>
      <c r="W13" s="307"/>
      <c r="X13" s="152">
        <f>IF(AND(YEAR(AprOffSet+23)=CalendarYear,MONTH(AprOffSet+23)=4),AprOffSet+23,"")</f>
        <v>46496</v>
      </c>
      <c r="Y13" s="177">
        <f>IF(AND(YEAR(AprOffSet+24)=CalendarYear,MONTH(AprOffSet+24)=4),AprOffSet+24,"")</f>
        <v>46497</v>
      </c>
      <c r="Z13" s="177">
        <f>IF(AND(YEAR(AprOffSet+25)=CalendarYear,MONTH(AprOffSet+25)=4),AprOffSet+25,"")</f>
        <v>46498</v>
      </c>
      <c r="AA13" s="177">
        <f>IF(AND(YEAR(AprOffSet+26)=CalendarYear,MONTH(AprOffSet+26)=4),AprOffSet+26,"")</f>
        <v>46499</v>
      </c>
      <c r="AB13" s="178">
        <f>IF(AND(YEAR(AprOffSet+27)=CalendarYear,MONTH(AprOffSet+27)=4),AprOffSet+27,"")</f>
        <v>46500</v>
      </c>
      <c r="AC13" s="24"/>
    </row>
    <row r="14" spans="1:34" x14ac:dyDescent="0.25">
      <c r="A14" s="50"/>
      <c r="B14" s="281"/>
      <c r="C14" s="154" t="str">
        <f>IF('Location A'!C13+'Location B'!C13=0,"",IF(AND('Location A'!C13&gt;=6,'Location B'!C13=0),UPPER($M$2),IF(AND('Location B'!C13&gt;=6,'Location A'!C13=0),UPPER($M$3),IF(AND('Location A'!C13&gt;0,'Location A'!C13&lt;6,'Location B'!C13=0),LOWER($M$2),IF(AND('Location B'!C13&lt;6,'Location B'!C13&gt;0,'Location A'!C13=0),LOWER($M$3),IF(AND('Location A'!C13+'Location B'!C13&lt;8.5,'Location A'!C13+'Location B'!C13&gt;0),"Both","Error"))))))</f>
        <v/>
      </c>
      <c r="D14" s="155" t="str">
        <f>IF('Location A'!D13+'Location B'!D13=0,"",IF(AND('Location A'!D13&gt;=6,'Location B'!D13=0),UPPER($M$2),IF(AND('Location B'!D13&gt;=6,'Location A'!D13=0),UPPER($M$3),IF(AND('Location A'!D13&gt;0,'Location A'!D13&lt;6,'Location B'!D13=0),LOWER($M$2),IF(AND('Location B'!D13&lt;6,'Location B'!D13&gt;0,'Location A'!D13=0),LOWER($M$3),IF(AND('Location A'!D13+'Location B'!D13&lt;8.5,'Location A'!D13+'Location B'!D13&gt;0),"Both","Error"))))))</f>
        <v/>
      </c>
      <c r="E14" s="155" t="str">
        <f>IF('Location A'!E13+'Location B'!E13=0,"",IF(AND('Location A'!E13&gt;=6,'Location B'!E13=0),UPPER($M$2),IF(AND('Location B'!E13&gt;=6,'Location A'!E13=0),UPPER($M$3),IF(AND('Location A'!E13&gt;0,'Location A'!E13&lt;6,'Location B'!E13=0),LOWER($M$2),IF(AND('Location B'!E13&lt;6,'Location B'!E13&gt;0,'Location A'!E13=0),LOWER($M$3),IF(AND('Location A'!E13+'Location B'!E13&lt;8.5,'Location A'!E13+'Location B'!E13&gt;0),"Both","Error"))))))</f>
        <v/>
      </c>
      <c r="F14" s="155" t="str">
        <f>IF('Location A'!F13+'Location B'!F13=0,"",IF(AND('Location A'!F13&gt;=6,'Location B'!F13=0),UPPER($M$2),IF(AND('Location B'!F13&gt;=6,'Location A'!F13=0),UPPER($M$3),IF(AND('Location A'!F13&gt;0,'Location A'!F13&lt;6,'Location B'!F13=0),LOWER($M$2),IF(AND('Location B'!F13&lt;6,'Location B'!F13&gt;0,'Location A'!F13=0),LOWER($M$3),IF(AND('Location A'!F13+'Location B'!F13&lt;8.5,'Location A'!F13+'Location B'!F13&gt;0),"Both","Error"))))))</f>
        <v/>
      </c>
      <c r="G14" s="156" t="str">
        <f>IF('Location A'!G13+'Location B'!G13=0,"",IF(AND('Location A'!G13&gt;=6,'Location B'!G13=0),UPPER($M$2),IF(AND('Location B'!G13&gt;=6,'Location A'!G13=0),UPPER($M$3),IF(AND('Location A'!G13&gt;0,'Location A'!G13&lt;6,'Location B'!G13=0),LOWER($M$2),IF(AND('Location B'!G13&lt;6,'Location B'!G13&gt;0,'Location A'!G13=0),LOWER($M$3),IF(AND('Location A'!G13+'Location B'!G13&lt;8.5,'Location A'!G13+'Location B'!G13&gt;0),"Both","Error"))))))</f>
        <v/>
      </c>
      <c r="H14" s="157"/>
      <c r="I14" s="307"/>
      <c r="J14" s="154" t="str">
        <f>IF('Location A'!J13+'Location B'!J13=0,"",IF(AND('Location A'!J13&gt;=6,'Location B'!J13=0),UPPER($M$2),IF(AND('Location B'!J13&gt;=6,'Location A'!J13=0),UPPER($M$3),IF(AND('Location A'!J13&gt;0,'Location A'!J13&lt;6,'Location B'!J13=0),LOWER($M$2),IF(AND('Location B'!J13&lt;6,'Location B'!J13&gt;0,'Location A'!J13=0),LOWER($M$3),IF(AND('Location A'!J13+'Location B'!J13&lt;8.5,'Location A'!J13+'Location B'!J13&gt;0),"Both","Error"))))))</f>
        <v/>
      </c>
      <c r="K14" s="155" t="str">
        <f>IF('Location A'!K13+'Location B'!K13=0,"",IF(AND('Location A'!K13&gt;=6,'Location B'!K13=0),UPPER($M$2),IF(AND('Location B'!K13&gt;=6,'Location A'!K13=0),UPPER($M$3),IF(AND('Location A'!K13&gt;0,'Location A'!K13&lt;6,'Location B'!K13=0),LOWER($M$2),IF(AND('Location B'!K13&lt;6,'Location B'!K13&gt;0,'Location A'!K13=0),LOWER($M$3),IF(AND('Location A'!K13+'Location B'!K13&lt;8.5,'Location A'!K13+'Location B'!K13&gt;0),"Both","Error"))))))</f>
        <v/>
      </c>
      <c r="L14" s="155" t="str">
        <f>IF('Location A'!L13+'Location B'!L13=0,"",IF(AND('Location A'!L13&gt;=6,'Location B'!L13=0),UPPER($M$2),IF(AND('Location B'!L13&gt;=6,'Location A'!L13=0),UPPER($M$3),IF(AND('Location A'!L13&gt;0,'Location A'!L13&lt;6,'Location B'!L13=0),LOWER($M$2),IF(AND('Location B'!L13&lt;6,'Location B'!L13&gt;0,'Location A'!L13=0),LOWER($M$3),IF(AND('Location A'!L13+'Location B'!L13&lt;8.5,'Location A'!L13+'Location B'!L13&gt;0),"Both","Error"))))))</f>
        <v/>
      </c>
      <c r="M14" s="155" t="str">
        <f>IF('Location A'!M13+'Location B'!M13=0,"",IF(AND('Location A'!M13&gt;=6,'Location B'!M13=0),UPPER($M$2),IF(AND('Location B'!M13&gt;=6,'Location A'!M13=0),UPPER($M$3),IF(AND('Location A'!M13&gt;0,'Location A'!M13&lt;6,'Location B'!M13=0),LOWER($M$2),IF(AND('Location B'!M13&lt;6,'Location B'!M13&gt;0,'Location A'!M13=0),LOWER($M$3),IF(AND('Location A'!M13+'Location B'!M13&lt;8.5,'Location A'!M13+'Location B'!M13&gt;0),"Both","Error"))))))</f>
        <v/>
      </c>
      <c r="N14" s="156" t="str">
        <f>IF('Location A'!N13+'Location B'!N13=0,"",IF(AND('Location A'!N13&gt;=6,'Location B'!N13=0),UPPER($M$2),IF(AND('Location B'!N13&gt;=6,'Location A'!N13=0),UPPER($M$3),IF(AND('Location A'!N13&gt;0,'Location A'!N13&lt;6,'Location B'!N13=0),LOWER($M$2),IF(AND('Location B'!N13&lt;6,'Location B'!N13&gt;0,'Location A'!N13=0),LOWER($M$3),IF(AND('Location A'!N13+'Location B'!N13&lt;8.5,'Location A'!N13+'Location B'!N13&gt;0),"Both","Error"))))))</f>
        <v/>
      </c>
      <c r="O14" s="157"/>
      <c r="P14" s="302"/>
      <c r="Q14" s="154" t="str">
        <f>IF('Location A'!Q13+'Location B'!Q13=0,"",IF(AND('Location A'!Q13&gt;=6,'Location B'!Q13=0),UPPER($M$2),IF(AND('Location B'!Q13&gt;=6,'Location A'!Q13=0),UPPER($M$3),IF(AND('Location A'!Q13&gt;0,'Location A'!Q13&lt;6,'Location B'!Q13=0),LOWER($M$2),IF(AND('Location B'!Q13&lt;6,'Location B'!Q13&gt;0,'Location A'!Q13=0),LOWER($M$3),IF(AND('Location A'!Q13+'Location B'!Q13&lt;8.5,'Location A'!Q13+'Location B'!Q13&gt;0),"Both","Error"))))))</f>
        <v/>
      </c>
      <c r="R14" s="155" t="str">
        <f>IF('Location A'!R13+'Location B'!R13=0,"",IF(AND('Location A'!R13&gt;=6,'Location B'!R13=0),UPPER($M$2),IF(AND('Location B'!R13&gt;=6,'Location A'!R13=0),UPPER($M$3),IF(AND('Location A'!R13&gt;0,'Location A'!R13&lt;6,'Location B'!R13=0),LOWER($M$2),IF(AND('Location B'!R13&lt;6,'Location B'!R13&gt;0,'Location A'!R13=0),LOWER($M$3),IF(AND('Location A'!R13+'Location B'!R13&lt;8.5,'Location A'!R13+'Location B'!R13&gt;0),"Both","Error"))))))</f>
        <v/>
      </c>
      <c r="S14" s="155" t="str">
        <f>IF('Location A'!S13+'Location B'!S13=0,"",IF(AND('Location A'!S13&gt;=6,'Location B'!S13=0),UPPER($M$2),IF(AND('Location B'!S13&gt;=6,'Location A'!S13=0),UPPER($M$3),IF(AND('Location A'!S13&gt;0,'Location A'!S13&lt;6,'Location B'!S13=0),LOWER($M$2),IF(AND('Location B'!S13&lt;6,'Location B'!S13&gt;0,'Location A'!S13=0),LOWER($M$3),IF(AND('Location A'!S13+'Location B'!S13&lt;8.5,'Location A'!S13+'Location B'!S13&gt;0),"Both","Error"))))))</f>
        <v/>
      </c>
      <c r="T14" s="155" t="str">
        <f>IF('Location A'!T13+'Location B'!T13=0,"",IF(AND('Location A'!T13&gt;=6,'Location B'!T13=0),UPPER($M$2),IF(AND('Location B'!T13&gt;=6,'Location A'!T13=0),UPPER($M$3),IF(AND('Location A'!T13&gt;0,'Location A'!T13&lt;6,'Location B'!T13=0),LOWER($M$2),IF(AND('Location B'!T13&lt;6,'Location B'!T13&gt;0,'Location A'!T13=0),LOWER($M$3),IF(AND('Location A'!T13+'Location B'!T13&lt;8.5,'Location A'!T13+'Location B'!T13&gt;0),"Both","Error"))))))</f>
        <v/>
      </c>
      <c r="U14" s="156" t="str">
        <f>IF('Location A'!U13+'Location B'!U13=0,"",IF(AND('Location A'!U13&gt;=6,'Location B'!U13=0),UPPER($M$2),IF(AND('Location B'!U13&gt;=6,'Location A'!U13=0),UPPER($M$3),IF(AND('Location A'!U13&gt;0,'Location A'!U13&lt;6,'Location B'!U13=0),LOWER($M$2),IF(AND('Location B'!U13&lt;6,'Location B'!U13&gt;0,'Location A'!U13=0),LOWER($M$3),IF(AND('Location A'!U13+'Location B'!U13&lt;8.5,'Location A'!U13+'Location B'!U13&gt;0),"Both","Error"))))))</f>
        <v/>
      </c>
      <c r="V14" s="157"/>
      <c r="W14" s="307"/>
      <c r="X14" s="154" t="str">
        <f>IF('Location A'!X13+'Location B'!X13=0,"",IF(AND('Location A'!X13&gt;=6,'Location B'!X13=0),UPPER($M$2),IF(AND('Location B'!X13&gt;=6,'Location A'!X13=0),UPPER($M$3),IF(AND('Location A'!X13&gt;0,'Location A'!X13&lt;6,'Location B'!X13=0),LOWER($M$2),IF(AND('Location B'!X13&lt;6,'Location B'!X13&gt;0,'Location A'!X13=0),LOWER($M$3),IF(AND('Location A'!X13+'Location B'!X13&lt;8.5,'Location A'!X13+'Location B'!X13&gt;0),"Both","Error"))))))</f>
        <v/>
      </c>
      <c r="Y14" s="155" t="str">
        <f>IF('Location A'!Y13+'Location B'!Y13=0,"",IF(AND('Location A'!Y13&gt;=6,'Location B'!Y13=0),UPPER($M$2),IF(AND('Location B'!Y13&gt;=6,'Location A'!Y13=0),UPPER($M$3),IF(AND('Location A'!Y13&gt;0,'Location A'!Y13&lt;6,'Location B'!Y13=0),LOWER($M$2),IF(AND('Location B'!Y13&lt;6,'Location B'!Y13&gt;0,'Location A'!Y13=0),LOWER($M$3),IF(AND('Location A'!Y13+'Location B'!Y13&lt;8.5,'Location A'!Y13+'Location B'!Y13&gt;0),"Both","Error"))))))</f>
        <v/>
      </c>
      <c r="Z14" s="155" t="str">
        <f>IF('Location A'!Z13+'Location B'!Z13=0,"",IF(AND('Location A'!Z13&gt;=6,'Location B'!Z13=0),UPPER($M$2),IF(AND('Location B'!Z13&gt;=6,'Location A'!Z13=0),UPPER($M$3),IF(AND('Location A'!Z13&gt;0,'Location A'!Z13&lt;6,'Location B'!Z13=0),LOWER($M$2),IF(AND('Location B'!Z13&lt;6,'Location B'!Z13&gt;0,'Location A'!Z13=0),LOWER($M$3),IF(AND('Location A'!Z13+'Location B'!Z13&lt;8.5,'Location A'!Z13+'Location B'!Z13&gt;0),"Both","Error"))))))</f>
        <v/>
      </c>
      <c r="AA14" s="155" t="str">
        <f>IF('Location A'!AA13+'Location B'!AA13=0,"",IF(AND('Location A'!AA13&gt;=6,'Location B'!AA13=0),UPPER($M$2),IF(AND('Location B'!AA13&gt;=6,'Location A'!AA13=0),UPPER($M$3),IF(AND('Location A'!AA13&gt;0,'Location A'!AA13&lt;6,'Location B'!AA13=0),LOWER($M$2),IF(AND('Location B'!AA13&lt;6,'Location B'!AA13&gt;0,'Location A'!AA13=0),LOWER($M$3),IF(AND('Location A'!AA13+'Location B'!AA13&lt;8.5,'Location A'!AA13+'Location B'!AA13&gt;0),"Both","Error"))))))</f>
        <v/>
      </c>
      <c r="AB14" s="156" t="str">
        <f>IF('Location A'!AB13+'Location B'!AB13=0,"",IF(AND('Location A'!AB13&gt;=6,'Location B'!AB13=0),UPPER($M$2),IF(AND('Location B'!AB13&gt;=6,'Location A'!AB13=0),UPPER($M$3),IF(AND('Location A'!AB13&gt;0,'Location A'!AB13&lt;6,'Location B'!AB13=0),LOWER($M$2),IF(AND('Location B'!AB13&lt;6,'Location B'!AB13&gt;0,'Location A'!AB13=0),LOWER($M$3),IF(AND('Location A'!AB13+'Location B'!AB13&lt;8.5,'Location A'!AB13+'Location B'!AB13&gt;0),"Both","Error"))))))</f>
        <v/>
      </c>
      <c r="AC14" s="26"/>
    </row>
    <row r="15" spans="1:34" ht="15.75" thickBot="1" x14ac:dyDescent="0.3">
      <c r="A15" s="50"/>
      <c r="B15" s="282"/>
      <c r="C15" s="158">
        <f>IF(AND(YEAR(July1OffSet+30)=BegCalYear,MONTH(July1OffSet+30)=7),July1OffSet+30,"")</f>
        <v>46230</v>
      </c>
      <c r="D15" s="159">
        <f>IF(AND(YEAR(July1OffSet+31)=BegCalYear,MONTH(July1OffSet+31)=7),July1OffSet+31,"")</f>
        <v>46231</v>
      </c>
      <c r="E15" s="159">
        <f>IF(AND(YEAR(July1OffSet+32)=BegCalYear,MONTH(July1OffSet+32)=7),July1OffSet+32,"")</f>
        <v>46232</v>
      </c>
      <c r="F15" s="159">
        <f>IF(AND(YEAR(July1OffSet+33)=BegCalYear,MONTH(July1OffSet+33)=7),July1OffSet+33,"")</f>
        <v>46233</v>
      </c>
      <c r="G15" s="160">
        <f>IF(AND(YEAR(July1OffSet+34)=BegCalYear,MONTH(July1OffSet+34)=7),July1OffSet+34,"")</f>
        <v>46234</v>
      </c>
      <c r="H15" s="161"/>
      <c r="I15" s="308"/>
      <c r="J15" s="158">
        <f>IF(AND(YEAR(OctOffSet+30)=BegCalYear,MONTH(OctOffSet+30)=10),OctOffSet+30,"")</f>
        <v>46321</v>
      </c>
      <c r="K15" s="159">
        <f>IF(AND(YEAR(OctOffSet+31)=BegCalYear,MONTH(OctOffSet+31)=10),OctOffSet+31,"")</f>
        <v>46322</v>
      </c>
      <c r="L15" s="159">
        <f>IF(AND(YEAR(OctOffSet+32)=BegCalYear,MONTH(OctOffSet+32)=10),OctOffSet+32,"")</f>
        <v>46323</v>
      </c>
      <c r="M15" s="159">
        <f>IF(AND(YEAR(OctOffSet+33)=BegCalYear,MONTH(OctOffSet+33)=10),OctOffSet+33,"")</f>
        <v>46324</v>
      </c>
      <c r="N15" s="160">
        <f>IF(AND(YEAR(OctOffSet+34)=BegCalYear,MONTH(OctOffSet+34)=10),OctOffSet+34,"")</f>
        <v>46325</v>
      </c>
      <c r="O15" s="161"/>
      <c r="P15" s="303"/>
      <c r="Q15" s="158">
        <f>IF(AND(YEAR(JanOffSet+30)=CalendarYear,MONTH(JanOffSet+30)=1),JanOffSet+30,"")</f>
        <v>46412</v>
      </c>
      <c r="R15" s="159">
        <f>IF(AND(YEAR(JanOffSet+31)=CalendarYear,MONTH(JanOffSet+31)=1),JanOffSet+31,"")</f>
        <v>46413</v>
      </c>
      <c r="S15" s="159">
        <f>IF(AND(YEAR(JanOffSet+32)=CalendarYear,MONTH(JanOffSet+32)=1),JanOffSet+32,"")</f>
        <v>46414</v>
      </c>
      <c r="T15" s="159">
        <f>IF(AND(YEAR(JanOffSet+33)=CalendarYear,MONTH(JanOffSet+33)=1),JanOffSet+33,"")</f>
        <v>46415</v>
      </c>
      <c r="U15" s="160">
        <f>IF(AND(YEAR(JanOffSet+34)=CalendarYear,MONTH(JanOffSet+34)=1),JanOffSet+34,"")</f>
        <v>46416</v>
      </c>
      <c r="V15" s="161"/>
      <c r="W15" s="308"/>
      <c r="X15" s="158">
        <f>IF(AND(YEAR(AprOffSet+30)=CalendarYear,MONTH(AprOffSet+30)=4),AprOffSet+30,"")</f>
        <v>46503</v>
      </c>
      <c r="Y15" s="159">
        <f>IF(AND(YEAR(AprOffSet+31)=CalendarYear,MONTH(AprOffSet+31)=4),AprOffSet+31,"")</f>
        <v>46504</v>
      </c>
      <c r="Z15" s="159">
        <f>IF(AND(YEAR(AprOffSet+32)=CalendarYear,MONTH(AprOffSet+32)=4),AprOffSet+32,"")</f>
        <v>46505</v>
      </c>
      <c r="AA15" s="159">
        <f>IF(AND(YEAR(AprOffSet+33)=CalendarYear,MONTH(AprOffSet+33)=4),AprOffSet+33,"")</f>
        <v>46506</v>
      </c>
      <c r="AB15" s="160">
        <f>IF(AND(YEAR(AprOffSet+34)=CalendarYear,MONTH(AprOffSet+34)=4),AprOffSet+34,"")</f>
        <v>46507</v>
      </c>
      <c r="AC15" s="43"/>
    </row>
    <row r="16" spans="1:34" ht="15.75" thickBot="1" x14ac:dyDescent="0.3">
      <c r="A16" s="50"/>
      <c r="B16" s="16"/>
      <c r="C16" s="151"/>
      <c r="D16" s="151"/>
      <c r="E16" s="151"/>
      <c r="F16" s="151"/>
      <c r="G16" s="151"/>
      <c r="H16" s="157"/>
      <c r="I16" s="162"/>
      <c r="J16" s="151"/>
      <c r="K16" s="151"/>
      <c r="L16" s="151"/>
      <c r="M16" s="151"/>
      <c r="N16" s="151"/>
      <c r="O16" s="157"/>
      <c r="P16" s="162"/>
      <c r="Q16" s="151"/>
      <c r="R16" s="151"/>
      <c r="S16" s="151"/>
      <c r="T16" s="151"/>
      <c r="U16" s="151"/>
      <c r="V16" s="157"/>
      <c r="W16" s="162"/>
      <c r="X16" s="151"/>
      <c r="Y16" s="151"/>
      <c r="Z16" s="151"/>
      <c r="AA16" s="151"/>
      <c r="AB16" s="151"/>
      <c r="AC16" s="42"/>
    </row>
    <row r="17" spans="1:61" ht="15" customHeight="1" x14ac:dyDescent="0.25">
      <c r="A17" s="50"/>
      <c r="B17" s="280" t="s">
        <v>15</v>
      </c>
      <c r="C17" s="147" t="str">
        <f>IF('Location A'!C16+'Location B'!C16=0,"",IF(AND('Location A'!C16&gt;=6,'Location B'!C16=0),UPPER($M$2),IF(AND('Location B'!C16&gt;=6,'Location A'!C16=0),UPPER($M$3),IF(AND('Location A'!C16&gt;0,'Location A'!C16&lt;6,'Location B'!C16=0),LOWER($M$2),IF(AND('Location B'!C16&lt;6,'Location B'!C16&gt;0,'Location A'!C16=0),LOWER($M$3),IF(AND('Location A'!C16+'Location B'!C16&lt;8.5,'Location A'!C16+'Location B'!C16&gt;0),"Both","Error"))))))</f>
        <v/>
      </c>
      <c r="D17" s="148" t="str">
        <f>IF('Location A'!D16+'Location B'!D16=0,"",IF(AND('Location A'!D16&gt;=6,'Location B'!D16=0),UPPER($M$2),IF(AND('Location B'!D16&gt;=6,'Location A'!D16=0),UPPER($M$3),IF(AND('Location A'!D16&gt;0,'Location A'!D16&lt;6,'Location B'!D16=0),LOWER($M$2),IF(AND('Location B'!D16&lt;6,'Location B'!D16&gt;0,'Location A'!D16=0),LOWER($M$3),IF(AND('Location A'!D16+'Location B'!D16&lt;8.5,'Location A'!D16+'Location B'!D16&gt;0),"Both","Error"))))))</f>
        <v/>
      </c>
      <c r="E17" s="148" t="str">
        <f>IF('Location A'!E16+'Location B'!E16=0,"",IF(AND('Location A'!E16&gt;=6,'Location B'!E16=0),UPPER($M$2),IF(AND('Location B'!E16&gt;=6,'Location A'!E16=0),UPPER($M$3),IF(AND('Location A'!E16&gt;0,'Location A'!E16&lt;6,'Location B'!E16=0),LOWER($M$2),IF(AND('Location B'!E16&lt;6,'Location B'!E16&gt;0,'Location A'!E16=0),LOWER($M$3),IF(AND('Location A'!E16+'Location B'!E16&lt;8.5,'Location A'!E16+'Location B'!E16&gt;0),"Both","Error"))))))</f>
        <v/>
      </c>
      <c r="F17" s="148" t="str">
        <f>IF('Location A'!F16+'Location B'!F16=0,"",IF(AND('Location A'!F16&gt;=6,'Location B'!F16=0),UPPER($M$2),IF(AND('Location B'!F16&gt;=6,'Location A'!F16=0),UPPER($M$3),IF(AND('Location A'!F16&gt;0,'Location A'!F16&lt;6,'Location B'!F16=0),LOWER($M$2),IF(AND('Location B'!F16&lt;6,'Location B'!F16&gt;0,'Location A'!F16=0),LOWER($M$3),IF(AND('Location A'!F16+'Location B'!F16&lt;8.5,'Location A'!F16+'Location B'!F16&gt;0),"Both","Error"))))))</f>
        <v/>
      </c>
      <c r="G17" s="149" t="str">
        <f>IF('Location A'!G16+'Location B'!G16=0,"",IF(AND('Location A'!G16&gt;=6,'Location B'!G16=0),UPPER($M$2),IF(AND('Location B'!G16&gt;=6,'Location A'!G16=0),UPPER($M$3),IF(AND('Location A'!G16&gt;0,'Location A'!G16&lt;6,'Location B'!G16=0),LOWER($M$2),IF(AND('Location B'!G16&lt;6,'Location B'!G16&gt;0,'Location A'!G16=0),LOWER($M$3),IF(AND('Location A'!G16+'Location B'!G16&lt;8.5,'Location A'!G16+'Location B'!G16&gt;0),"Both","Error"))))))</f>
        <v/>
      </c>
      <c r="H17" s="150"/>
      <c r="I17" s="306" t="s">
        <v>16</v>
      </c>
      <c r="J17" s="147" t="str">
        <f>IF('Location A'!J16+'Location B'!J16=0,"",IF(AND('Location A'!J16&gt;=6,'Location B'!J16=0),UPPER($M$2),IF(AND('Location B'!J16&gt;=6,'Location A'!J16=0),UPPER($M$3),IF(AND('Location A'!J16&gt;0,'Location A'!J16&lt;6,'Location B'!J16=0),LOWER($M$2),IF(AND('Location B'!J16&lt;6,'Location B'!J16&gt;0,'Location A'!J16=0),LOWER($M$3),IF(AND('Location A'!J16+'Location B'!J16&lt;8.5,'Location A'!J16+'Location B'!J16&gt;0),"Both","Error"))))))</f>
        <v/>
      </c>
      <c r="K17" s="148" t="str">
        <f>IF('Location A'!K16+'Location B'!K16=0,"",IF(AND('Location A'!K16&gt;=6,'Location B'!K16=0),UPPER($M$2),IF(AND('Location B'!K16&gt;=6,'Location A'!K16=0),UPPER($M$3),IF(AND('Location A'!K16&gt;0,'Location A'!K16&lt;6,'Location B'!K16=0),LOWER($M$2),IF(AND('Location B'!K16&lt;6,'Location B'!K16&gt;0,'Location A'!K16=0),LOWER($M$3),IF(AND('Location A'!K16+'Location B'!K16&lt;8.5,'Location A'!K16+'Location B'!K16&gt;0),"Both","Error"))))))</f>
        <v/>
      </c>
      <c r="L17" s="148" t="str">
        <f>IF('Location A'!L16+'Location B'!L16=0,"",IF(AND('Location A'!L16&gt;=6,'Location B'!L16=0),UPPER($M$2),IF(AND('Location B'!L16&gt;=6,'Location A'!L16=0),UPPER($M$3),IF(AND('Location A'!L16&gt;0,'Location A'!L16&lt;6,'Location B'!L16=0),LOWER($M$2),IF(AND('Location B'!L16&lt;6,'Location B'!L16&gt;0,'Location A'!L16=0),LOWER($M$3),IF(AND('Location A'!L16+'Location B'!L16&lt;8.5,'Location A'!L16+'Location B'!L16&gt;0),"Both","Error"))))))</f>
        <v/>
      </c>
      <c r="M17" s="148" t="str">
        <f>IF('Location A'!M16+'Location B'!M16=0,"",IF(AND('Location A'!M16&gt;=6,'Location B'!M16=0),UPPER($M$2),IF(AND('Location B'!M16&gt;=6,'Location A'!M16=0),UPPER($M$3),IF(AND('Location A'!M16&gt;0,'Location A'!M16&lt;6,'Location B'!M16=0),LOWER($M$2),IF(AND('Location B'!M16&lt;6,'Location B'!M16&gt;0,'Location A'!M16=0),LOWER($M$3),IF(AND('Location A'!M16+'Location B'!M16&lt;8.5,'Location A'!M16+'Location B'!M16&gt;0),"Both","Error"))))))</f>
        <v/>
      </c>
      <c r="N17" s="149" t="str">
        <f>IF('Location A'!N16+'Location B'!N16=0,"",IF(AND('Location A'!N16&gt;=6,'Location B'!N16=0),UPPER($M$2),IF(AND('Location B'!N16&gt;=6,'Location A'!N16=0),UPPER($M$3),IF(AND('Location A'!N16&gt;0,'Location A'!N16&lt;6,'Location B'!N16=0),LOWER($M$2),IF(AND('Location B'!N16&lt;6,'Location B'!N16&gt;0,'Location A'!N16=0),LOWER($M$3),IF(AND('Location A'!N16+'Location B'!N16&lt;8.5,'Location A'!N16+'Location B'!N16&gt;0),"Both","Error"))))))</f>
        <v/>
      </c>
      <c r="O17" s="151"/>
      <c r="P17" s="301" t="s">
        <v>17</v>
      </c>
      <c r="Q17" s="147" t="str">
        <f>IF('Location A'!Q16+'Location B'!Q16=0,"",IF(AND('Location A'!Q16&gt;=6,'Location B'!Q16=0),UPPER($M$2),IF(AND('Location B'!Q16&gt;=6,'Location A'!Q16=0),UPPER($M$3),IF(AND('Location A'!Q16&gt;0,'Location A'!Q16&lt;6,'Location B'!Q16=0),LOWER($M$2),IF(AND('Location B'!Q16&lt;6,'Location B'!Q16&gt;0,'Location A'!Q16=0),LOWER($M$3),IF(AND('Location A'!Q16+'Location B'!Q16&lt;8.5,'Location A'!Q16+'Location B'!Q16&gt;0),"Both","Error"))))))</f>
        <v/>
      </c>
      <c r="R17" s="148" t="str">
        <f>IF('Location A'!R16+'Location B'!R16=0,"",IF(AND('Location A'!R16&gt;=6,'Location B'!R16=0),UPPER($M$2),IF(AND('Location B'!R16&gt;=6,'Location A'!R16=0),UPPER($M$3),IF(AND('Location A'!R16&gt;0,'Location A'!R16&lt;6,'Location B'!R16=0),LOWER($M$2),IF(AND('Location B'!R16&lt;6,'Location B'!R16&gt;0,'Location A'!R16=0),LOWER($M$3),IF(AND('Location A'!R16+'Location B'!R16&lt;8.5,'Location A'!R16+'Location B'!R16&gt;0),"Both","Error"))))))</f>
        <v/>
      </c>
      <c r="S17" s="148" t="str">
        <f>IF('Location A'!S16+'Location B'!S16=0,"",IF(AND('Location A'!S16&gt;=6,'Location B'!S16=0),UPPER($M$2),IF(AND('Location B'!S16&gt;=6,'Location A'!S16=0),UPPER($M$3),IF(AND('Location A'!S16&gt;0,'Location A'!S16&lt;6,'Location B'!S16=0),LOWER($M$2),IF(AND('Location B'!S16&lt;6,'Location B'!S16&gt;0,'Location A'!S16=0),LOWER($M$3),IF(AND('Location A'!S16+'Location B'!S16&lt;8.5,'Location A'!S16+'Location B'!S16&gt;0),"Both","Error"))))))</f>
        <v/>
      </c>
      <c r="T17" s="148" t="str">
        <f>IF('Location A'!T16+'Location B'!T16=0,"",IF(AND('Location A'!T16&gt;=6,'Location B'!T16=0),UPPER($M$2),IF(AND('Location B'!T16&gt;=6,'Location A'!T16=0),UPPER($M$3),IF(AND('Location A'!T16&gt;0,'Location A'!T16&lt;6,'Location B'!T16=0),LOWER($M$2),IF(AND('Location B'!T16&lt;6,'Location B'!T16&gt;0,'Location A'!T16=0),LOWER($M$3),IF(AND('Location A'!T16+'Location B'!T16&lt;8.5,'Location A'!T16+'Location B'!T16&gt;0),"Both","Error"))))))</f>
        <v/>
      </c>
      <c r="U17" s="149" t="str">
        <f>IF('Location A'!U16+'Location B'!U16=0,"",IF(AND('Location A'!U16&gt;=6,'Location B'!U16=0),UPPER($M$2),IF(AND('Location B'!U16&gt;=6,'Location A'!U16=0),UPPER($M$3),IF(AND('Location A'!U16&gt;0,'Location A'!U16&lt;6,'Location B'!U16=0),LOWER($M$2),IF(AND('Location B'!U16&lt;6,'Location B'!U16&gt;0,'Location A'!U16=0),LOWER($M$3),IF(AND('Location A'!U16+'Location B'!U16&lt;8.5,'Location A'!U16+'Location B'!U16&gt;0),"Both","Error"))))))</f>
        <v/>
      </c>
      <c r="V17" s="151"/>
      <c r="W17" s="306" t="s">
        <v>18</v>
      </c>
      <c r="X17" s="147" t="str">
        <f>IF('Location A'!X16+'Location B'!X16=0,"",IF(AND('Location A'!X16&gt;=6,'Location B'!X16=0),UPPER($M$2),IF(AND('Location B'!X16&gt;=6,'Location A'!X16=0),UPPER($M$3),IF(AND('Location A'!X16&gt;0,'Location A'!X16&lt;6,'Location B'!X16=0),LOWER($M$2),IF(AND('Location B'!X16&lt;6,'Location B'!X16&gt;0,'Location A'!X16=0),LOWER($M$3),IF(AND('Location A'!X16+'Location B'!X16&lt;8.5,'Location A'!X16+'Location B'!X16&gt;0),"Both","Error"))))))</f>
        <v/>
      </c>
      <c r="Y17" s="148" t="str">
        <f>IF('Location A'!Y16+'Location B'!Y16=0,"",IF(AND('Location A'!Y16&gt;=6,'Location B'!Y16=0),UPPER($M$2),IF(AND('Location B'!Y16&gt;=6,'Location A'!Y16=0),UPPER($M$3),IF(AND('Location A'!Y16&gt;0,'Location A'!Y16&lt;6,'Location B'!Y16=0),LOWER($M$2),IF(AND('Location B'!Y16&lt;6,'Location B'!Y16&gt;0,'Location A'!Y16=0),LOWER($M$3),IF(AND('Location A'!Y16+'Location B'!Y16&lt;8.5,'Location A'!Y16+'Location B'!Y16&gt;0),"Both","Error"))))))</f>
        <v/>
      </c>
      <c r="Z17" s="148" t="str">
        <f>IF('Location A'!Z16+'Location B'!Z16=0,"",IF(AND('Location A'!Z16&gt;=6,'Location B'!Z16=0),UPPER($M$2),IF(AND('Location B'!Z16&gt;=6,'Location A'!Z16=0),UPPER($M$3),IF(AND('Location A'!Z16&gt;0,'Location A'!Z16&lt;6,'Location B'!Z16=0),LOWER($M$2),IF(AND('Location B'!Z16&lt;6,'Location B'!Z16&gt;0,'Location A'!Z16=0),LOWER($M$3),IF(AND('Location A'!Z16+'Location B'!Z16&lt;8.5,'Location A'!Z16+'Location B'!Z16&gt;0),"Both","Error"))))))</f>
        <v/>
      </c>
      <c r="AA17" s="148" t="str">
        <f>IF('Location A'!AA16+'Location B'!AA16=0,"",IF(AND('Location A'!AA16&gt;=6,'Location B'!AA16=0),UPPER($M$2),IF(AND('Location B'!AA16&gt;=6,'Location A'!AA16=0),UPPER($M$3),IF(AND('Location A'!AA16&gt;0,'Location A'!AA16&lt;6,'Location B'!AA16=0),LOWER($M$2),IF(AND('Location B'!AA16&lt;6,'Location B'!AA16&gt;0,'Location A'!AA16=0),LOWER($M$3),IF(AND('Location A'!AA16+'Location B'!AA16&lt;8.5,'Location A'!AA16+'Location B'!AA16&gt;0),"Both","Error"))))))</f>
        <v/>
      </c>
      <c r="AB17" s="149" t="str">
        <f>IF('Location A'!AB16+'Location B'!AB16=0,"",IF(AND('Location A'!AB16&gt;=6,'Location B'!AB16=0),UPPER($M$2),IF(AND('Location B'!AB16&gt;=6,'Location A'!AB16=0),UPPER($M$3),IF(AND('Location A'!AB16&gt;0,'Location A'!AB16&lt;6,'Location B'!AB16=0),LOWER($M$2),IF(AND('Location B'!AB16&lt;6,'Location B'!AB16&gt;0,'Location A'!AB16=0),LOWER($M$3),IF(AND('Location A'!AB16+'Location B'!AB16&lt;8.5,'Location A'!AB16+'Location B'!AB16&gt;0),"Both","Error"))))))</f>
        <v/>
      </c>
      <c r="AC17" s="42"/>
    </row>
    <row r="18" spans="1:61" x14ac:dyDescent="0.25">
      <c r="A18" s="50"/>
      <c r="B18" s="281"/>
      <c r="C18" s="152" t="str">
        <f>IF(AND(YEAR(AugOffSet+2)=BegCalYear,MONTH(AugOffSet+2)=8),AugOffSet+2,"")</f>
        <v/>
      </c>
      <c r="D18" s="177" t="str">
        <f>IF(AND(YEAR(AugOffSet+3)=BegCalYear,MONTH(AugOffSet+3)=8),AugOffSet+3,"")</f>
        <v/>
      </c>
      <c r="E18" s="177" t="str">
        <f>IF(AND(YEAR(AugOffSet+4)=BegCalYear,MONTH(AugOffSet+4)=8),AugOffSet+4,"")</f>
        <v/>
      </c>
      <c r="F18" s="177" t="str">
        <f>IF(AND(YEAR(AugOffSet+5)=BegCalYear,MONTH(AugOffSet+5)=8),AugOffSet+5,"")</f>
        <v/>
      </c>
      <c r="G18" s="178" t="str">
        <f>IF(AND(YEAR(AugOffSet+6)=BegCalYear,MONTH(AugOffSet+6)=8),AugOffSet+6,"")</f>
        <v/>
      </c>
      <c r="H18" s="153"/>
      <c r="I18" s="307"/>
      <c r="J18" s="152"/>
      <c r="K18" s="177">
        <f>IF(AND(YEAR(NovOffSet+3)=BegCalYear,MONTH(NovOffSet+3)=11),NovOffSet+3,"")</f>
        <v>46329</v>
      </c>
      <c r="L18" s="177">
        <f>IF(AND(YEAR(NovOffSet+4)=BegCalYear,MONTH(NovOffSet+4)=11),NovOffSet+4,"")</f>
        <v>46330</v>
      </c>
      <c r="M18" s="177">
        <f>IF(AND(YEAR(NovOffSet+5)=BegCalYear,MONTH(NovOffSet+5)=11),NovOffSet+5,"")</f>
        <v>46331</v>
      </c>
      <c r="N18" s="178">
        <f>IF(AND(YEAR(NovOffSet+6)=BegCalYear,MONTH(NovOffSet+6)=11),NovOffSet+6,"")</f>
        <v>46332</v>
      </c>
      <c r="O18" s="151"/>
      <c r="P18" s="302"/>
      <c r="Q18" s="152">
        <f>IF(AND(YEAR(FebOffSet+2)=CalendarYear,MONTH(FebOffSet+2)=2),FebOffSet+2,"")</f>
        <v>46419</v>
      </c>
      <c r="R18" s="177">
        <f>IF(AND(YEAR(FebOffSet+3)=CalendarYear,MONTH(FebOffSet+3)=2),FebOffSet+3,"")</f>
        <v>46420</v>
      </c>
      <c r="S18" s="177">
        <f>IF(AND(YEAR(FebOffSet+4)=CalendarYear,MONTH(FebOffSet+4)=2),FebOffSet+4,"")</f>
        <v>46421</v>
      </c>
      <c r="T18" s="177">
        <f>IF(AND(YEAR(FebOffSet+5)=CalendarYear,MONTH(FebOffSet+5)=2),FebOffSet+5,"")</f>
        <v>46422</v>
      </c>
      <c r="U18" s="178">
        <f>IF(AND(YEAR(FebOffSet+6)=CalendarYear,MONTH(FebOffSet+6)=2),FebOffSet+6,"")</f>
        <v>46423</v>
      </c>
      <c r="V18" s="151"/>
      <c r="W18" s="307"/>
      <c r="X18" s="152" t="str">
        <f>IF(AND(YEAR(MayOffSet+2)=CalendarYear,MONTH(MayOffSet+2)=5),MayOffSet+2,"")</f>
        <v/>
      </c>
      <c r="Y18" s="177" t="str">
        <f>IF(AND(YEAR(MayOffSet+3)=CalendarYear,MONTH(MayOffSet+3)=5),MayOffSet+3,"")</f>
        <v/>
      </c>
      <c r="Z18" s="177" t="str">
        <f>IF(AND(YEAR(MayOffSet+4)=CalendarYear,MONTH(MayOffSet+4)=5),MayOffSet+4,"")</f>
        <v/>
      </c>
      <c r="AA18" s="177" t="str">
        <f>IF(AND(YEAR(MayOffSet+5)=CalendarYear,MONTH(MayOffSet+5)=5),MayOffSet+5,"")</f>
        <v/>
      </c>
      <c r="AB18" s="178" t="str">
        <f>IF(AND(YEAR(MayOffSet+6)=CalendarYear,MONTH(MayOffSet+6)=5),MayOffSet+6,"")</f>
        <v/>
      </c>
      <c r="AC18" s="42"/>
    </row>
    <row r="19" spans="1:61" x14ac:dyDescent="0.25">
      <c r="A19" s="50"/>
      <c r="B19" s="281"/>
      <c r="C19" s="154" t="str">
        <f>IF('Location A'!C18+'Location B'!C18=0,"",IF(AND('Location A'!C18&gt;=6,'Location B'!C18=0),UPPER($M$2),IF(AND('Location B'!C18&gt;=6,'Location A'!C18=0),UPPER($M$3),IF(AND('Location A'!C18&gt;0,'Location A'!C18&lt;6,'Location B'!C18=0),LOWER($M$2),IF(AND('Location B'!C18&lt;6,'Location B'!C18&gt;0,'Location A'!C18=0),LOWER($M$3),IF(AND('Location A'!C18+'Location B'!C18&lt;8.5,'Location A'!C18+'Location B'!C18&gt;0),"Both","Error"))))))</f>
        <v/>
      </c>
      <c r="D19" s="155" t="str">
        <f>IF('Location A'!D18+'Location B'!D18=0,"",IF(AND('Location A'!D18&gt;=6,'Location B'!D18=0),UPPER($M$2),IF(AND('Location B'!D18&gt;=6,'Location A'!D18=0),UPPER($M$3),IF(AND('Location A'!D18&gt;0,'Location A'!D18&lt;6,'Location B'!D18=0),LOWER($M$2),IF(AND('Location B'!D18&lt;6,'Location B'!D18&gt;0,'Location A'!D18=0),LOWER($M$3),IF(AND('Location A'!D18+'Location B'!D18&lt;8.5,'Location A'!D18+'Location B'!D18&gt;0),"Both","Error"))))))</f>
        <v/>
      </c>
      <c r="E19" s="155" t="str">
        <f>IF('Location A'!E18+'Location B'!E18=0,"",IF(AND('Location A'!E18&gt;=6,'Location B'!E18=0),UPPER($M$2),IF(AND('Location B'!E18&gt;=6,'Location A'!E18=0),UPPER($M$3),IF(AND('Location A'!E18&gt;0,'Location A'!E18&lt;6,'Location B'!E18=0),LOWER($M$2),IF(AND('Location B'!E18&lt;6,'Location B'!E18&gt;0,'Location A'!E18=0),LOWER($M$3),IF(AND('Location A'!E18+'Location B'!E18&lt;8.5,'Location A'!E18+'Location B'!E18&gt;0),"Both","Error"))))))</f>
        <v/>
      </c>
      <c r="F19" s="155" t="str">
        <f>IF('Location A'!F18+'Location B'!F18=0,"",IF(AND('Location A'!F18&gt;=6,'Location B'!F18=0),UPPER($M$2),IF(AND('Location B'!F18&gt;=6,'Location A'!F18=0),UPPER($M$3),IF(AND('Location A'!F18&gt;0,'Location A'!F18&lt;6,'Location B'!F18=0),LOWER($M$2),IF(AND('Location B'!F18&lt;6,'Location B'!F18&gt;0,'Location A'!F18=0),LOWER($M$3),IF(AND('Location A'!F18+'Location B'!F18&lt;8.5,'Location A'!F18+'Location B'!F18&gt;0),"Both","Error"))))))</f>
        <v/>
      </c>
      <c r="G19" s="156" t="str">
        <f>IF('Location A'!G18+'Location B'!G18=0,"",IF(AND('Location A'!G18&gt;=6,'Location B'!G18=0),UPPER($M$2),IF(AND('Location B'!G18&gt;=6,'Location A'!G18=0),UPPER($M$3),IF(AND('Location A'!G18&gt;0,'Location A'!G18&lt;6,'Location B'!G18=0),LOWER($M$2),IF(AND('Location B'!G18&lt;6,'Location B'!G18&gt;0,'Location A'!G18=0),LOWER($M$3),IF(AND('Location A'!G18+'Location B'!G18&lt;8.5,'Location A'!G18+'Location B'!G18&gt;0),"Both","Error"))))))</f>
        <v/>
      </c>
      <c r="H19" s="153"/>
      <c r="I19" s="307"/>
      <c r="J19" s="154" t="str">
        <f>IF('Location A'!J18+'Location B'!J18=0,"",IF(AND('Location A'!J18&gt;=6,'Location B'!J18=0),UPPER($M$2),IF(AND('Location B'!J18&gt;=6,'Location A'!J18=0),UPPER($M$3),IF(AND('Location A'!J18&gt;0,'Location A'!J18&lt;6,'Location B'!J18=0),LOWER($M$2),IF(AND('Location B'!J18&lt;6,'Location B'!J18&gt;0,'Location A'!J18=0),LOWER($M$3),IF(AND('Location A'!J18+'Location B'!J18&lt;8.5,'Location A'!J18+'Location B'!J18&gt;0),"Both","Error"))))))</f>
        <v/>
      </c>
      <c r="K19" s="155" t="str">
        <f>IF('Location A'!K18+'Location B'!K18=0,"",IF(AND('Location A'!K18&gt;=6,'Location B'!K18=0),UPPER($M$2),IF(AND('Location B'!K18&gt;=6,'Location A'!K18=0),UPPER($M$3),IF(AND('Location A'!K18&gt;0,'Location A'!K18&lt;6,'Location B'!K18=0),LOWER($M$2),IF(AND('Location B'!K18&lt;6,'Location B'!K18&gt;0,'Location A'!K18=0),LOWER($M$3),IF(AND('Location A'!K18+'Location B'!K18&lt;8.5,'Location A'!K18+'Location B'!K18&gt;0),"Both","Error"))))))</f>
        <v/>
      </c>
      <c r="L19" s="155" t="str">
        <f>IF('Location A'!L18+'Location B'!L18=0,"",IF(AND('Location A'!L18&gt;=6,'Location B'!L18=0),UPPER($M$2),IF(AND('Location B'!L18&gt;=6,'Location A'!L18=0),UPPER($M$3),IF(AND('Location A'!L18&gt;0,'Location A'!L18&lt;6,'Location B'!L18=0),LOWER($M$2),IF(AND('Location B'!L18&lt;6,'Location B'!L18&gt;0,'Location A'!L18=0),LOWER($M$3),IF(AND('Location A'!L18+'Location B'!L18&lt;8.5,'Location A'!L18+'Location B'!L18&gt;0),"Both","Error"))))))</f>
        <v/>
      </c>
      <c r="M19" s="155" t="str">
        <f>IF('Location A'!M18+'Location B'!M18=0,"",IF(AND('Location A'!M18&gt;=6,'Location B'!M18=0),UPPER($M$2),IF(AND('Location B'!M18&gt;=6,'Location A'!M18=0),UPPER($M$3),IF(AND('Location A'!M18&gt;0,'Location A'!M18&lt;6,'Location B'!M18=0),LOWER($M$2),IF(AND('Location B'!M18&lt;6,'Location B'!M18&gt;0,'Location A'!M18=0),LOWER($M$3),IF(AND('Location A'!M18+'Location B'!M18&lt;8.5,'Location A'!M18+'Location B'!M18&gt;0),"Both","Error"))))))</f>
        <v/>
      </c>
      <c r="N19" s="156" t="str">
        <f>IF('Location A'!N18+'Location B'!N18=0,"",IF(AND('Location A'!N18&gt;=6,'Location B'!N18=0),UPPER($M$2),IF(AND('Location B'!N18&gt;=6,'Location A'!N18=0),UPPER($M$3),IF(AND('Location A'!N18&gt;0,'Location A'!N18&lt;6,'Location B'!N18=0),LOWER($M$2),IF(AND('Location B'!N18&lt;6,'Location B'!N18&gt;0,'Location A'!N18=0),LOWER($M$3),IF(AND('Location A'!N18+'Location B'!N18&lt;8.5,'Location A'!N18+'Location B'!N18&gt;0),"Both","Error"))))))</f>
        <v/>
      </c>
      <c r="O19" s="151"/>
      <c r="P19" s="302"/>
      <c r="Q19" s="154" t="str">
        <f>IF('Location A'!Q18+'Location B'!Q18=0,"",IF(AND('Location A'!Q18&gt;=6,'Location B'!Q18=0),UPPER($M$2),IF(AND('Location B'!Q18&gt;=6,'Location A'!Q18=0),UPPER($M$3),IF(AND('Location A'!Q18&gt;0,'Location A'!Q18&lt;6,'Location B'!Q18=0),LOWER($M$2),IF(AND('Location B'!Q18&lt;6,'Location B'!Q18&gt;0,'Location A'!Q18=0),LOWER($M$3),IF(AND('Location A'!Q18+'Location B'!Q18&lt;8.5,'Location A'!Q18+'Location B'!Q18&gt;0),"Both","Error"))))))</f>
        <v/>
      </c>
      <c r="R19" s="155" t="str">
        <f>IF('Location A'!R18+'Location B'!R18=0,"",IF(AND('Location A'!R18&gt;=6,'Location B'!R18=0),UPPER($M$2),IF(AND('Location B'!R18&gt;=6,'Location A'!R18=0),UPPER($M$3),IF(AND('Location A'!R18&gt;0,'Location A'!R18&lt;6,'Location B'!R18=0),LOWER($M$2),IF(AND('Location B'!R18&lt;6,'Location B'!R18&gt;0,'Location A'!R18=0),LOWER($M$3),IF(AND('Location A'!R18+'Location B'!R18&lt;8.5,'Location A'!R18+'Location B'!R18&gt;0),"Both","Error"))))))</f>
        <v/>
      </c>
      <c r="S19" s="155" t="str">
        <f>IF('Location A'!S18+'Location B'!S18=0,"",IF(AND('Location A'!S18&gt;=6,'Location B'!S18=0),UPPER($M$2),IF(AND('Location B'!S18&gt;=6,'Location A'!S18=0),UPPER($M$3),IF(AND('Location A'!S18&gt;0,'Location A'!S18&lt;6,'Location B'!S18=0),LOWER($M$2),IF(AND('Location B'!S18&lt;6,'Location B'!S18&gt;0,'Location A'!S18=0),LOWER($M$3),IF(AND('Location A'!S18+'Location B'!S18&lt;8.5,'Location A'!S18+'Location B'!S18&gt;0),"Both","Error"))))))</f>
        <v/>
      </c>
      <c r="T19" s="155" t="str">
        <f>IF('Location A'!T18+'Location B'!T18=0,"",IF(AND('Location A'!T18&gt;=6,'Location B'!T18=0),UPPER($M$2),IF(AND('Location B'!T18&gt;=6,'Location A'!T18=0),UPPER($M$3),IF(AND('Location A'!T18&gt;0,'Location A'!T18&lt;6,'Location B'!T18=0),LOWER($M$2),IF(AND('Location B'!T18&lt;6,'Location B'!T18&gt;0,'Location A'!T18=0),LOWER($M$3),IF(AND('Location A'!T18+'Location B'!T18&lt;8.5,'Location A'!T18+'Location B'!T18&gt;0),"Both","Error"))))))</f>
        <v/>
      </c>
      <c r="U19" s="156" t="str">
        <f>IF('Location A'!U18+'Location B'!U18=0,"",IF(AND('Location A'!U18&gt;=6,'Location B'!U18=0),UPPER($M$2),IF(AND('Location B'!U18&gt;=6,'Location A'!U18=0),UPPER($M$3),IF(AND('Location A'!U18&gt;0,'Location A'!U18&lt;6,'Location B'!U18=0),LOWER($M$2),IF(AND('Location B'!U18&lt;6,'Location B'!U18&gt;0,'Location A'!U18=0),LOWER($M$3),IF(AND('Location A'!U18+'Location B'!U18&lt;8.5,'Location A'!U18+'Location B'!U18&gt;0),"Both","Error"))))))</f>
        <v/>
      </c>
      <c r="V19" s="151"/>
      <c r="W19" s="307"/>
      <c r="X19" s="154" t="str">
        <f>IF('Location A'!X18+'Location B'!X18=0,"",IF(AND('Location A'!X18&gt;=6,'Location B'!X18=0),UPPER($M$2),IF(AND('Location B'!X18&gt;=6,'Location A'!X18=0),UPPER($M$3),IF(AND('Location A'!X18&gt;0,'Location A'!X18&lt;6,'Location B'!X18=0),LOWER($M$2),IF(AND('Location B'!X18&lt;6,'Location B'!X18&gt;0,'Location A'!X18=0),LOWER($M$3),IF(AND('Location A'!X18+'Location B'!X18&lt;8.5,'Location A'!X18+'Location B'!X18&gt;0),"Both","Error"))))))</f>
        <v/>
      </c>
      <c r="Y19" s="155" t="str">
        <f>IF('Location A'!Y18+'Location B'!Y18=0,"",IF(AND('Location A'!Y18&gt;=6,'Location B'!Y18=0),UPPER($M$2),IF(AND('Location B'!Y18&gt;=6,'Location A'!Y18=0),UPPER($M$3),IF(AND('Location A'!Y18&gt;0,'Location A'!Y18&lt;6,'Location B'!Y18=0),LOWER($M$2),IF(AND('Location B'!Y18&lt;6,'Location B'!Y18&gt;0,'Location A'!Y18=0),LOWER($M$3),IF(AND('Location A'!Y18+'Location B'!Y18&lt;8.5,'Location A'!Y18+'Location B'!Y18&gt;0),"Both","Error"))))))</f>
        <v/>
      </c>
      <c r="Z19" s="155" t="str">
        <f>IF('Location A'!Z18+'Location B'!Z18=0,"",IF(AND('Location A'!Z18&gt;=6,'Location B'!Z18=0),UPPER($M$2),IF(AND('Location B'!Z18&gt;=6,'Location A'!Z18=0),UPPER($M$3),IF(AND('Location A'!Z18&gt;0,'Location A'!Z18&lt;6,'Location B'!Z18=0),LOWER($M$2),IF(AND('Location B'!Z18&lt;6,'Location B'!Z18&gt;0,'Location A'!Z18=0),LOWER($M$3),IF(AND('Location A'!Z18+'Location B'!Z18&lt;8.5,'Location A'!Z18+'Location B'!Z18&gt;0),"Both","Error"))))))</f>
        <v/>
      </c>
      <c r="AA19" s="155" t="str">
        <f>IF('Location A'!AA18+'Location B'!AA18=0,"",IF(AND('Location A'!AA18&gt;=6,'Location B'!AA18=0),UPPER($M$2),IF(AND('Location B'!AA18&gt;=6,'Location A'!AA18=0),UPPER($M$3),IF(AND('Location A'!AA18&gt;0,'Location A'!AA18&lt;6,'Location B'!AA18=0),LOWER($M$2),IF(AND('Location B'!AA18&lt;6,'Location B'!AA18&gt;0,'Location A'!AA18=0),LOWER($M$3),IF(AND('Location A'!AA18+'Location B'!AA18&lt;8.5,'Location A'!AA18+'Location B'!AA18&gt;0),"Both","Error"))))))</f>
        <v/>
      </c>
      <c r="AB19" s="156" t="str">
        <f>IF('Location A'!AB18+'Location B'!AB18=0,"",IF(AND('Location A'!AB18&gt;=6,'Location B'!AB18=0),UPPER($M$2),IF(AND('Location B'!AB18&gt;=6,'Location A'!AB18=0),UPPER($M$3),IF(AND('Location A'!AB18&gt;0,'Location A'!AB18&lt;6,'Location B'!AB18=0),LOWER($M$2),IF(AND('Location B'!AB18&lt;6,'Location B'!AB18&gt;0,'Location A'!AB18=0),LOWER($M$3),IF(AND('Location A'!AB18+'Location B'!AB18&lt;8.5,'Location A'!AB18+'Location B'!AB18&gt;0),"Both","Error"))))))</f>
        <v/>
      </c>
      <c r="AC19" s="42"/>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9"/>
      <c r="BG19" s="79"/>
      <c r="BH19" s="79"/>
      <c r="BI19" s="79"/>
    </row>
    <row r="20" spans="1:61" x14ac:dyDescent="0.25">
      <c r="A20" s="50"/>
      <c r="B20" s="281"/>
      <c r="C20" s="152">
        <f>IF(AND(YEAR(AugOffSet+9)=BegCalYear,MONTH(AugOffSet+9)=8),AugOffSet+9,"")</f>
        <v>46237</v>
      </c>
      <c r="D20" s="177">
        <f>IF(AND(YEAR(AugOffSet+10)=BegCalYear,MONTH(AugOffSet+10)=8),AugOffSet+10,"")</f>
        <v>46238</v>
      </c>
      <c r="E20" s="177">
        <f>IF(AND(YEAR(AugOffSet+11)=BegCalYear,MONTH(AugOffSet+11)=8),AugOffSet+11,"")</f>
        <v>46239</v>
      </c>
      <c r="F20" s="177">
        <f>IF(AND(YEAR(AugOffSet+12)=BegCalYear,MONTH(AugOffSet+12)=8),AugOffSet+12,"")</f>
        <v>46240</v>
      </c>
      <c r="G20" s="178">
        <f>IF(AND(YEAR(AugOffSet+13)=BegCalYear,MONTH(AugOffSet+13)=8),AugOffSet+13,"")</f>
        <v>46241</v>
      </c>
      <c r="H20" s="153"/>
      <c r="I20" s="307"/>
      <c r="J20" s="152">
        <f>IF(AND(YEAR(NovOffSet+9)=BegCalYear,MONTH(NovOffSet+9)=11),NovOffSet+9,"")</f>
        <v>46335</v>
      </c>
      <c r="K20" s="177">
        <f>IF(AND(YEAR(NovOffSet+10)=BegCalYear,MONTH(NovOffSet+10)=11),NovOffSet+10,"")</f>
        <v>46336</v>
      </c>
      <c r="L20" s="177">
        <f>IF(AND(YEAR(NovOffSet+11)=BegCalYear,MONTH(NovOffSet+11)=11),NovOffSet+11,"")</f>
        <v>46337</v>
      </c>
      <c r="M20" s="177">
        <f>IF(AND(YEAR(NovOffSet+12)=BegCalYear,MONTH(NovOffSet+12)=11),NovOffSet+12,"")</f>
        <v>46338</v>
      </c>
      <c r="N20" s="178">
        <f>IF(AND(YEAR(NovOffSet+13)=BegCalYear,MONTH(NovOffSet+13)=11),NovOffSet+13,"")</f>
        <v>46339</v>
      </c>
      <c r="O20" s="151"/>
      <c r="P20" s="302"/>
      <c r="Q20" s="152">
        <f>IF(AND(YEAR(FebOffSet+9)=CalendarYear,MONTH(FebOffSet+9)=2),FebOffSet+9,"")</f>
        <v>46426</v>
      </c>
      <c r="R20" s="177">
        <f>IF(AND(YEAR(FebOffSet+10)=CalendarYear,MONTH(FebOffSet+10)=2),FebOffSet+10,"")</f>
        <v>46427</v>
      </c>
      <c r="S20" s="177">
        <f>IF(AND(YEAR(FebOffSet+11)=CalendarYear,MONTH(FebOffSet+11)=2),FebOffSet+11,"")</f>
        <v>46428</v>
      </c>
      <c r="T20" s="177">
        <f>IF(AND(YEAR(FebOffSet+12)=CalendarYear,MONTH(FebOffSet+12)=2),FebOffSet+12,"")</f>
        <v>46429</v>
      </c>
      <c r="U20" s="178">
        <f>IF(AND(YEAR(FebOffSet+13)=CalendarYear,MONTH(FebOffSet+13)=2),FebOffSet+13,"")</f>
        <v>46430</v>
      </c>
      <c r="V20" s="151"/>
      <c r="W20" s="307"/>
      <c r="X20" s="152">
        <f>IF(AND(YEAR(MayOffSet+9)=CalendarYear,MONTH(MayOffSet+9)=5),MayOffSet+9,"")</f>
        <v>46510</v>
      </c>
      <c r="Y20" s="177">
        <f>IF(AND(YEAR(MayOffSet+10)=CalendarYear,MONTH(MayOffSet+10)=5),MayOffSet+10,"")</f>
        <v>46511</v>
      </c>
      <c r="Z20" s="177">
        <f>IF(AND(YEAR(MayOffSet+11)=CalendarYear,MONTH(MayOffSet+11)=5),MayOffSet+11,"")</f>
        <v>46512</v>
      </c>
      <c r="AA20" s="177">
        <f>IF(AND(YEAR(MayOffSet+12)=CalendarYear,MONTH(MayOffSet+12)=5),MayOffSet+12,"")</f>
        <v>46513</v>
      </c>
      <c r="AB20" s="178">
        <f>IF(AND(YEAR(MayOffSet+13)=CalendarYear,MONTH(MayOffSet+13)=5),MayOffSet+13,"")</f>
        <v>46514</v>
      </c>
      <c r="AC20" s="42"/>
      <c r="AI20" s="79"/>
      <c r="AJ20" s="79"/>
      <c r="AK20" s="79"/>
      <c r="AL20" s="79"/>
      <c r="AM20" s="79"/>
      <c r="AN20" s="79"/>
      <c r="AO20" s="79"/>
      <c r="AP20" s="79"/>
      <c r="AQ20" s="79"/>
      <c r="AR20" s="79"/>
      <c r="AS20" s="79"/>
      <c r="AT20" s="79"/>
      <c r="AU20" s="79"/>
      <c r="AV20" s="79"/>
      <c r="AW20" s="79"/>
      <c r="AX20" s="79"/>
      <c r="AY20" s="79"/>
      <c r="AZ20" s="79"/>
      <c r="BA20" s="79"/>
      <c r="BB20" s="79"/>
      <c r="BC20" s="79"/>
      <c r="BD20" s="79"/>
      <c r="BE20" s="79"/>
      <c r="BF20" s="79"/>
      <c r="BG20" s="79"/>
      <c r="BH20" s="79"/>
      <c r="BI20" s="79"/>
    </row>
    <row r="21" spans="1:61" x14ac:dyDescent="0.25">
      <c r="A21" s="50"/>
      <c r="B21" s="281"/>
      <c r="C21" s="154" t="str">
        <f>IF('Location A'!C20+'Location B'!C20=0,"",IF(AND('Location A'!C20&gt;=6,'Location B'!C20=0),UPPER($M$2),IF(AND('Location B'!C20&gt;=6,'Location A'!C20=0),UPPER($M$3),IF(AND('Location A'!C20&gt;0,'Location A'!C20&lt;6,'Location B'!C20=0),LOWER($M$2),IF(AND('Location B'!C20&lt;6,'Location B'!C20&gt;0,'Location A'!C20=0),LOWER($M$3),IF(AND('Location A'!C20+'Location B'!C20&lt;8.5,'Location A'!C20+'Location B'!C20&gt;0),"Both","Error"))))))</f>
        <v/>
      </c>
      <c r="D21" s="155" t="str">
        <f>IF('Location A'!D20+'Location B'!D20=0,"",IF(AND('Location A'!D20&gt;=6,'Location B'!D20=0),UPPER($M$2),IF(AND('Location B'!D20&gt;=6,'Location A'!D20=0),UPPER($M$3),IF(AND('Location A'!D20&gt;0,'Location A'!D20&lt;6,'Location B'!D20=0),LOWER($M$2),IF(AND('Location B'!D20&lt;6,'Location B'!D20&gt;0,'Location A'!D20=0),LOWER($M$3),IF(AND('Location A'!D20+'Location B'!D20&lt;8.5,'Location A'!D20+'Location B'!D20&gt;0),"Both","Error"))))))</f>
        <v/>
      </c>
      <c r="E21" s="155" t="str">
        <f>IF('Location A'!E20+'Location B'!E20=0,"",IF(AND('Location A'!E20&gt;=6,'Location B'!E20=0),UPPER($M$2),IF(AND('Location B'!E20&gt;=6,'Location A'!E20=0),UPPER($M$3),IF(AND('Location A'!E20&gt;0,'Location A'!E20&lt;6,'Location B'!E20=0),LOWER($M$2),IF(AND('Location B'!E20&lt;6,'Location B'!E20&gt;0,'Location A'!E20=0),LOWER($M$3),IF(AND('Location A'!E20+'Location B'!E20&lt;8.5,'Location A'!E20+'Location B'!E20&gt;0),"Both","Error"))))))</f>
        <v/>
      </c>
      <c r="F21" s="155" t="str">
        <f>IF('Location A'!F20+'Location B'!F20=0,"",IF(AND('Location A'!F20&gt;=6,'Location B'!F20=0),UPPER($M$2),IF(AND('Location B'!F20&gt;=6,'Location A'!F20=0),UPPER($M$3),IF(AND('Location A'!F20&gt;0,'Location A'!F20&lt;6,'Location B'!F20=0),LOWER($M$2),IF(AND('Location B'!F20&lt;6,'Location B'!F20&gt;0,'Location A'!F20=0),LOWER($M$3),IF(AND('Location A'!F20+'Location B'!F20&lt;8.5,'Location A'!F20+'Location B'!F20&gt;0),"Both","Error"))))))</f>
        <v/>
      </c>
      <c r="G21" s="156" t="str">
        <f>IF('Location A'!G20+'Location B'!G20=0,"",IF(AND('Location A'!G20&gt;=6,'Location B'!G20=0),UPPER($M$2),IF(AND('Location B'!G20&gt;=6,'Location A'!G20=0),UPPER($M$3),IF(AND('Location A'!G20&gt;0,'Location A'!G20&lt;6,'Location B'!G20=0),LOWER($M$2),IF(AND('Location B'!G20&lt;6,'Location B'!G20&gt;0,'Location A'!G20=0),LOWER($M$3),IF(AND('Location A'!G20+'Location B'!G20&lt;8.5,'Location A'!G20+'Location B'!G20&gt;0),"Both","Error"))))))</f>
        <v/>
      </c>
      <c r="H21" s="153"/>
      <c r="I21" s="307"/>
      <c r="J21" s="154" t="str">
        <f>IF('Location A'!J20+'Location B'!J20=0,"",IF(AND('Location A'!J20&gt;=6,'Location B'!J20=0),UPPER($M$2),IF(AND('Location B'!J20&gt;=6,'Location A'!J20=0),UPPER($M$3),IF(AND('Location A'!J20&gt;0,'Location A'!J20&lt;6,'Location B'!J20=0),LOWER($M$2),IF(AND('Location B'!J20&lt;6,'Location B'!J20&gt;0,'Location A'!J20=0),LOWER($M$3),IF(AND('Location A'!J20+'Location B'!J20&lt;8.5,'Location A'!J20+'Location B'!J20&gt;0),"Both","Error"))))))</f>
        <v/>
      </c>
      <c r="K21" s="155" t="str">
        <f>IF('Location A'!K20+'Location B'!K20=0,"",IF(AND('Location A'!K20&gt;=6,'Location B'!K20=0),UPPER($M$2),IF(AND('Location B'!K20&gt;=6,'Location A'!K20=0),UPPER($M$3),IF(AND('Location A'!K20&gt;0,'Location A'!K20&lt;6,'Location B'!K20=0),LOWER($M$2),IF(AND('Location B'!K20&lt;6,'Location B'!K20&gt;0,'Location A'!K20=0),LOWER($M$3),IF(AND('Location A'!K20+'Location B'!K20&lt;8.5,'Location A'!K20+'Location B'!K20&gt;0),"Both","Error"))))))</f>
        <v/>
      </c>
      <c r="L21" s="155" t="str">
        <f>IF('Location A'!L20+'Location B'!L20=0,"",IF(AND('Location A'!L20&gt;=6,'Location B'!L20=0),UPPER($M$2),IF(AND('Location B'!L20&gt;=6,'Location A'!L20=0),UPPER($M$3),IF(AND('Location A'!L20&gt;0,'Location A'!L20&lt;6,'Location B'!L20=0),LOWER($M$2),IF(AND('Location B'!L20&lt;6,'Location B'!L20&gt;0,'Location A'!L20=0),LOWER($M$3),IF(AND('Location A'!L20+'Location B'!L20&lt;8.5,'Location A'!L20+'Location B'!L20&gt;0),"Both","Error"))))))</f>
        <v/>
      </c>
      <c r="M21" s="155" t="str">
        <f>IF('Location A'!M20+'Location B'!M20=0,"",IF(AND('Location A'!M20&gt;=6,'Location B'!M20=0),UPPER($M$2),IF(AND('Location B'!M20&gt;=6,'Location A'!M20=0),UPPER($M$3),IF(AND('Location A'!M20&gt;0,'Location A'!M20&lt;6,'Location B'!M20=0),LOWER($M$2),IF(AND('Location B'!M20&lt;6,'Location B'!M20&gt;0,'Location A'!M20=0),LOWER($M$3),IF(AND('Location A'!M20+'Location B'!M20&lt;8.5,'Location A'!M20+'Location B'!M20&gt;0),"Both","Error"))))))</f>
        <v/>
      </c>
      <c r="N21" s="156" t="str">
        <f>IF('Location A'!N20+'Location B'!N20=0,"",IF(AND('Location A'!N20&gt;=6,'Location B'!N20=0),UPPER($M$2),IF(AND('Location B'!N20&gt;=6,'Location A'!N20=0),UPPER($M$3),IF(AND('Location A'!N20&gt;0,'Location A'!N20&lt;6,'Location B'!N20=0),LOWER($M$2),IF(AND('Location B'!N20&lt;6,'Location B'!N20&gt;0,'Location A'!N20=0),LOWER($M$3),IF(AND('Location A'!N20+'Location B'!N20&lt;8.5,'Location A'!N20+'Location B'!N20&gt;0),"Both","Error"))))))</f>
        <v/>
      </c>
      <c r="O21" s="150"/>
      <c r="P21" s="302"/>
      <c r="Q21" s="154" t="str">
        <f>IF('Location A'!Q20+'Location B'!Q20=0,"",IF(AND('Location A'!Q20&gt;=6,'Location B'!Q20=0),UPPER($M$2),IF(AND('Location B'!Q20&gt;=6,'Location A'!Q20=0),UPPER($M$3),IF(AND('Location A'!Q20&gt;0,'Location A'!Q20&lt;6,'Location B'!Q20=0),LOWER($M$2),IF(AND('Location B'!Q20&lt;6,'Location B'!Q20&gt;0,'Location A'!Q20=0),LOWER($M$3),IF(AND('Location A'!Q20+'Location B'!Q20&lt;8.5,'Location A'!Q20+'Location B'!Q20&gt;0),"Both","Error"))))))</f>
        <v/>
      </c>
      <c r="R21" s="155" t="str">
        <f>IF('Location A'!R20+'Location B'!R20=0,"",IF(AND('Location A'!R20&gt;=6,'Location B'!R20=0),UPPER($M$2),IF(AND('Location B'!R20&gt;=6,'Location A'!R20=0),UPPER($M$3),IF(AND('Location A'!R20&gt;0,'Location A'!R20&lt;6,'Location B'!R20=0),LOWER($M$2),IF(AND('Location B'!R20&lt;6,'Location B'!R20&gt;0,'Location A'!R20=0),LOWER($M$3),IF(AND('Location A'!R20+'Location B'!R20&lt;8.5,'Location A'!R20+'Location B'!R20&gt;0),"Both","Error"))))))</f>
        <v/>
      </c>
      <c r="S21" s="155" t="str">
        <f>IF('Location A'!S20+'Location B'!S20=0,"",IF(AND('Location A'!S20&gt;=6,'Location B'!S20=0),UPPER($M$2),IF(AND('Location B'!S20&gt;=6,'Location A'!S20=0),UPPER($M$3),IF(AND('Location A'!S20&gt;0,'Location A'!S20&lt;6,'Location B'!S20=0),LOWER($M$2),IF(AND('Location B'!S20&lt;6,'Location B'!S20&gt;0,'Location A'!S20=0),LOWER($M$3),IF(AND('Location A'!S20+'Location B'!S20&lt;8.5,'Location A'!S20+'Location B'!S20&gt;0),"Both","Error"))))))</f>
        <v/>
      </c>
      <c r="T21" s="155" t="str">
        <f>IF('Location A'!T20+'Location B'!T20=0,"",IF(AND('Location A'!T20&gt;=6,'Location B'!T20=0),UPPER($M$2),IF(AND('Location B'!T20&gt;=6,'Location A'!T20=0),UPPER($M$3),IF(AND('Location A'!T20&gt;0,'Location A'!T20&lt;6,'Location B'!T20=0),LOWER($M$2),IF(AND('Location B'!T20&lt;6,'Location B'!T20&gt;0,'Location A'!T20=0),LOWER($M$3),IF(AND('Location A'!T20+'Location B'!T20&lt;8.5,'Location A'!T20+'Location B'!T20&gt;0),"Both","Error"))))))</f>
        <v/>
      </c>
      <c r="U21" s="156" t="str">
        <f>IF('Location A'!U20+'Location B'!U20=0,"",IF(AND('Location A'!U20&gt;=6,'Location B'!U20=0),UPPER($M$2),IF(AND('Location B'!U20&gt;=6,'Location A'!U20=0),UPPER($M$3),IF(AND('Location A'!U20&gt;0,'Location A'!U20&lt;6,'Location B'!U20=0),LOWER($M$2),IF(AND('Location B'!U20&lt;6,'Location B'!U20&gt;0,'Location A'!U20=0),LOWER($M$3),IF(AND('Location A'!U20+'Location B'!U20&lt;8.5,'Location A'!U20+'Location B'!U20&gt;0),"Both","Error"))))))</f>
        <v/>
      </c>
      <c r="V21" s="151"/>
      <c r="W21" s="307"/>
      <c r="X21" s="154" t="str">
        <f>IF('Location A'!X20+'Location B'!X20=0,"",IF(AND('Location A'!X20&gt;=6,'Location B'!X20=0),UPPER($M$2),IF(AND('Location B'!X20&gt;=6,'Location A'!X20=0),UPPER($M$3),IF(AND('Location A'!X20&gt;0,'Location A'!X20&lt;6,'Location B'!X20=0),LOWER($M$2),IF(AND('Location B'!X20&lt;6,'Location B'!X20&gt;0,'Location A'!X20=0),LOWER($M$3),IF(AND('Location A'!X20+'Location B'!X20&lt;8.5,'Location A'!X20+'Location B'!X20&gt;0),"Both","Error"))))))</f>
        <v/>
      </c>
      <c r="Y21" s="155" t="str">
        <f>IF('Location A'!Y20+'Location B'!Y20=0,"",IF(AND('Location A'!Y20&gt;=6,'Location B'!Y20=0),UPPER($M$2),IF(AND('Location B'!Y20&gt;=6,'Location A'!Y20=0),UPPER($M$3),IF(AND('Location A'!Y20&gt;0,'Location A'!Y20&lt;6,'Location B'!Y20=0),LOWER($M$2),IF(AND('Location B'!Y20&lt;6,'Location B'!Y20&gt;0,'Location A'!Y20=0),LOWER($M$3),IF(AND('Location A'!Y20+'Location B'!Y20&lt;8.5,'Location A'!Y20+'Location B'!Y20&gt;0),"Both","Error"))))))</f>
        <v/>
      </c>
      <c r="Z21" s="155" t="str">
        <f>IF('Location A'!Z20+'Location B'!Z20=0,"",IF(AND('Location A'!Z20&gt;=6,'Location B'!Z20=0),UPPER($M$2),IF(AND('Location B'!Z20&gt;=6,'Location A'!Z20=0),UPPER($M$3),IF(AND('Location A'!Z20&gt;0,'Location A'!Z20&lt;6,'Location B'!Z20=0),LOWER($M$2),IF(AND('Location B'!Z20&lt;6,'Location B'!Z20&gt;0,'Location A'!Z20=0),LOWER($M$3),IF(AND('Location A'!Z20+'Location B'!Z20&lt;8.5,'Location A'!Z20+'Location B'!Z20&gt;0),"Both","Error"))))))</f>
        <v/>
      </c>
      <c r="AA21" s="155" t="str">
        <f>IF('Location A'!AA20+'Location B'!AA20=0,"",IF(AND('Location A'!AA20&gt;=6,'Location B'!AA20=0),UPPER($M$2),IF(AND('Location B'!AA20&gt;=6,'Location A'!AA20=0),UPPER($M$3),IF(AND('Location A'!AA20&gt;0,'Location A'!AA20&lt;6,'Location B'!AA20=0),LOWER($M$2),IF(AND('Location B'!AA20&lt;6,'Location B'!AA20&gt;0,'Location A'!AA20=0),LOWER($M$3),IF(AND('Location A'!AA20+'Location B'!AA20&lt;8.5,'Location A'!AA20+'Location B'!AA20&gt;0),"Both","Error"))))))</f>
        <v/>
      </c>
      <c r="AB21" s="156" t="str">
        <f>IF('Location A'!AB20+'Location B'!AB20=0,"",IF(AND('Location A'!AB20&gt;=6,'Location B'!AB20=0),UPPER($M$2),IF(AND('Location B'!AB20&gt;=6,'Location A'!AB20=0),UPPER($M$3),IF(AND('Location A'!AB20&gt;0,'Location A'!AB20&lt;6,'Location B'!AB20=0),LOWER($M$2),IF(AND('Location B'!AB20&lt;6,'Location B'!AB20&gt;0,'Location A'!AB20=0),LOWER($M$3),IF(AND('Location A'!AB20+'Location B'!AB20&lt;8.5,'Location A'!AB20+'Location B'!AB20&gt;0),"Both","Error"))))))</f>
        <v/>
      </c>
      <c r="AC21" s="42"/>
      <c r="AI21" s="79"/>
      <c r="AJ21" s="79"/>
      <c r="AK21" s="79"/>
      <c r="AL21" s="79"/>
      <c r="AM21" s="79"/>
      <c r="AN21" s="79"/>
      <c r="AO21" s="79"/>
      <c r="AP21" s="79"/>
      <c r="AQ21" s="79"/>
      <c r="AR21" s="79"/>
      <c r="AS21" s="79"/>
      <c r="AT21" s="79"/>
      <c r="AU21" s="79"/>
      <c r="AV21" s="79"/>
      <c r="AW21" s="79"/>
      <c r="AX21" s="79"/>
      <c r="AY21" s="79"/>
      <c r="AZ21" s="79"/>
      <c r="BA21" s="79"/>
      <c r="BB21" s="79"/>
      <c r="BC21" s="79"/>
      <c r="BD21" s="79"/>
      <c r="BE21" s="79"/>
      <c r="BF21" s="79"/>
      <c r="BG21" s="79"/>
      <c r="BH21" s="79"/>
      <c r="BI21" s="79"/>
    </row>
    <row r="22" spans="1:61" x14ac:dyDescent="0.25">
      <c r="A22" s="50"/>
      <c r="B22" s="281"/>
      <c r="C22" s="152">
        <f>IF(AND(YEAR(AugOffSet+16)=BegCalYear,MONTH(AugOffSet+16)=8),AugOffSet+16,"")</f>
        <v>46244</v>
      </c>
      <c r="D22" s="177">
        <f>IF(AND(YEAR(AugOffSet+17)=BegCalYear,MONTH(AugOffSet+17)=8),AugOffSet+17,"")</f>
        <v>46245</v>
      </c>
      <c r="E22" s="177">
        <f>IF(AND(YEAR(AugOffSet+18)=BegCalYear,MONTH(AugOffSet+18)=8),AugOffSet+18,"")</f>
        <v>46246</v>
      </c>
      <c r="F22" s="177">
        <f>IF(AND(YEAR(AugOffSet+19)=BegCalYear,MONTH(AugOffSet+19)=8),AugOffSet+19,"")</f>
        <v>46247</v>
      </c>
      <c r="G22" s="178">
        <f>IF(AND(YEAR(AugOffSet+20)=BegCalYear,MONTH(AugOffSet+20)=8),AugOffSet+20,"")</f>
        <v>46248</v>
      </c>
      <c r="H22" s="153"/>
      <c r="I22" s="307"/>
      <c r="J22" s="152">
        <f>IF(AND(YEAR(NovOffSet+16)=BegCalYear,MONTH(NovOffSet+16)=11),NovOffSet+16,"")</f>
        <v>46342</v>
      </c>
      <c r="K22" s="177">
        <f>IF(AND(YEAR(NovOffSet+17)=BegCalYear,MONTH(NovOffSet+17)=11),NovOffSet+17,"")</f>
        <v>46343</v>
      </c>
      <c r="L22" s="177">
        <f>IF(AND(YEAR(NovOffSet+18)=BegCalYear,MONTH(NovOffSet+18)=11),NovOffSet+18,"")</f>
        <v>46344</v>
      </c>
      <c r="M22" s="177">
        <f>IF(AND(YEAR(NovOffSet+19)=BegCalYear,MONTH(NovOffSet+19)=11),NovOffSet+19,"")</f>
        <v>46345</v>
      </c>
      <c r="N22" s="178">
        <f>IF(AND(YEAR(NovOffSet+20)=BegCalYear,MONTH(NovOffSet+20)=11),NovOffSet+20,"")</f>
        <v>46346</v>
      </c>
      <c r="O22" s="151"/>
      <c r="P22" s="302"/>
      <c r="Q22" s="152">
        <f>IF(AND(YEAR(FebOffSet+16)=CalendarYear,MONTH(FebOffSet+16)=2),FebOffSet+16,"")</f>
        <v>46433</v>
      </c>
      <c r="R22" s="177">
        <f>IF(AND(YEAR(FebOffSet+17)=CalendarYear,MONTH(FebOffSet+17)=2),FebOffSet+17,"")</f>
        <v>46434</v>
      </c>
      <c r="S22" s="177">
        <f>IF(AND(YEAR(FebOffSet+18)=CalendarYear,MONTH(FebOffSet+18)=2),FebOffSet+18,"")</f>
        <v>46435</v>
      </c>
      <c r="T22" s="177">
        <f>IF(AND(YEAR(FebOffSet+19)=CalendarYear,MONTH(FebOffSet+19)=2),FebOffSet+19,"")</f>
        <v>46436</v>
      </c>
      <c r="U22" s="178">
        <f>IF(AND(YEAR(FebOffSet+20)=CalendarYear,MONTH(FebOffSet+20)=2),FebOffSet+20,"")</f>
        <v>46437</v>
      </c>
      <c r="V22" s="151"/>
      <c r="W22" s="307"/>
      <c r="X22" s="152">
        <f>IF(AND(YEAR(MayOffSet+16)=CalendarYear,MONTH(MayOffSet+16)=5),MayOffSet+16,"")</f>
        <v>46517</v>
      </c>
      <c r="Y22" s="177">
        <f>IF(AND(YEAR(MayOffSet+17)=CalendarYear,MONTH(MayOffSet+17)=5),MayOffSet+17,"")</f>
        <v>46518</v>
      </c>
      <c r="Z22" s="177">
        <f>IF(AND(YEAR(MayOffSet+18)=CalendarYear,MONTH(MayOffSet+18)=5),MayOffSet+18,"")</f>
        <v>46519</v>
      </c>
      <c r="AA22" s="177">
        <f>IF(AND(YEAR(MayOffSet+19)=CalendarYear,MONTH(MayOffSet+19)=5),MayOffSet+19,"")</f>
        <v>46520</v>
      </c>
      <c r="AB22" s="178">
        <f>IF(AND(YEAR(MayOffSet+20)=CalendarYear,MONTH(MayOffSet+20)=5),MayOffSet+20,"")</f>
        <v>46521</v>
      </c>
      <c r="AC22" s="42"/>
      <c r="AI22" s="79"/>
      <c r="AJ22" s="79"/>
      <c r="AK22" s="79"/>
      <c r="AL22" s="79"/>
      <c r="AM22" s="79"/>
      <c r="AN22" s="79"/>
      <c r="AO22" s="79"/>
      <c r="AP22" s="79"/>
      <c r="AQ22" s="79"/>
      <c r="AR22" s="79"/>
      <c r="AS22" s="79"/>
      <c r="AT22" s="79"/>
      <c r="AU22" s="79"/>
      <c r="AV22" s="79"/>
      <c r="AW22" s="79"/>
      <c r="AX22" s="79"/>
      <c r="AY22" s="79"/>
      <c r="AZ22" s="79"/>
      <c r="BA22" s="79"/>
      <c r="BB22" s="79"/>
      <c r="BC22" s="79"/>
      <c r="BD22" s="79"/>
      <c r="BE22" s="79"/>
      <c r="BF22" s="79"/>
      <c r="BG22" s="79"/>
      <c r="BH22" s="79"/>
      <c r="BI22" s="79"/>
    </row>
    <row r="23" spans="1:61" ht="14.25" customHeight="1" x14ac:dyDescent="0.25">
      <c r="A23" s="11"/>
      <c r="B23" s="281"/>
      <c r="C23" s="154" t="str">
        <f>IF('Location A'!C22+'Location B'!C22=0,"",IF(AND('Location A'!C22&gt;=6,'Location B'!C22=0),UPPER($M$2),IF(AND('Location B'!C22&gt;=6,'Location A'!C22=0),UPPER($M$3),IF(AND('Location A'!C22&gt;0,'Location A'!C22&lt;6,'Location B'!C22=0),LOWER($M$2),IF(AND('Location B'!C22&lt;6,'Location B'!C22&gt;0,'Location A'!C22=0),LOWER($M$3),IF(AND('Location A'!C22+'Location B'!C22&lt;8.5,'Location A'!C22+'Location B'!C22&gt;0),"Both","Error"))))))</f>
        <v/>
      </c>
      <c r="D23" s="155" t="str">
        <f>IF('Location A'!D22+'Location B'!D22=0,"",IF(AND('Location A'!D22&gt;=6,'Location B'!D22=0),UPPER($M$2),IF(AND('Location B'!D22&gt;=6,'Location A'!D22=0),UPPER($M$3),IF(AND('Location A'!D22&gt;0,'Location A'!D22&lt;6,'Location B'!D22=0),LOWER($M$2),IF(AND('Location B'!D22&lt;6,'Location B'!D22&gt;0,'Location A'!D22=0),LOWER($M$3),IF(AND('Location A'!D22+'Location B'!D22&lt;8.5,'Location A'!D22+'Location B'!D22&gt;0),"Both","Error"))))))</f>
        <v/>
      </c>
      <c r="E23" s="155" t="str">
        <f>IF('Location A'!E22+'Location B'!E22=0,"",IF(AND('Location A'!E22&gt;=6,'Location B'!E22=0),UPPER($M$2),IF(AND('Location B'!E22&gt;=6,'Location A'!E22=0),UPPER($M$3),IF(AND('Location A'!E22&gt;0,'Location A'!E22&lt;6,'Location B'!E22=0),LOWER($M$2),IF(AND('Location B'!E22&lt;6,'Location B'!E22&gt;0,'Location A'!E22=0),LOWER($M$3),IF(AND('Location A'!E22+'Location B'!E22&lt;8.5,'Location A'!E22+'Location B'!E22&gt;0),"Both","Error"))))))</f>
        <v/>
      </c>
      <c r="F23" s="155" t="str">
        <f>IF('Location A'!F22+'Location B'!F22=0,"",IF(AND('Location A'!F22&gt;=6,'Location B'!F22=0),UPPER($M$2),IF(AND('Location B'!F22&gt;=6,'Location A'!F22=0),UPPER($M$3),IF(AND('Location A'!F22&gt;0,'Location A'!F22&lt;6,'Location B'!F22=0),LOWER($M$2),IF(AND('Location B'!F22&lt;6,'Location B'!F22&gt;0,'Location A'!F22=0),LOWER($M$3),IF(AND('Location A'!F22+'Location B'!F22&lt;8.5,'Location A'!F22+'Location B'!F22&gt;0),"Both","Error"))))))</f>
        <v/>
      </c>
      <c r="G23" s="156" t="str">
        <f>IF('Location A'!G22+'Location B'!G22=0,"",IF(AND('Location A'!G22&gt;=6,'Location B'!G22=0),UPPER($M$2),IF(AND('Location B'!G22&gt;=6,'Location A'!G22=0),UPPER($M$3),IF(AND('Location A'!G22&gt;0,'Location A'!G22&lt;6,'Location B'!G22=0),LOWER($M$2),IF(AND('Location B'!G22&lt;6,'Location B'!G22&gt;0,'Location A'!G22=0),LOWER($M$3),IF(AND('Location A'!G22+'Location B'!G22&lt;8.5,'Location A'!G22+'Location B'!G22&gt;0),"Both","Error"))))))</f>
        <v/>
      </c>
      <c r="H23" s="151"/>
      <c r="I23" s="307"/>
      <c r="J23" s="154" t="str">
        <f>IF('Location A'!J22+'Location B'!J22=0,"",IF(AND('Location A'!J22&gt;=6,'Location B'!J22=0),UPPER($M$2),IF(AND('Location B'!J22&gt;=6,'Location A'!J22=0),UPPER($M$3),IF(AND('Location A'!J22&gt;0,'Location A'!J22&lt;6,'Location B'!J22=0),LOWER($M$2),IF(AND('Location B'!J22&lt;6,'Location B'!J22&gt;0,'Location A'!J22=0),LOWER($M$3),IF(AND('Location A'!J22+'Location B'!J22&lt;8.5,'Location A'!J22+'Location B'!J22&gt;0),"Both","Error"))))))</f>
        <v/>
      </c>
      <c r="K23" s="155" t="str">
        <f>IF('Location A'!K22+'Location B'!K22=0,"",IF(AND('Location A'!K22&gt;=6,'Location B'!K22=0),UPPER($M$2),IF(AND('Location B'!K22&gt;=6,'Location A'!K22=0),UPPER($M$3),IF(AND('Location A'!K22&gt;0,'Location A'!K22&lt;6,'Location B'!K22=0),LOWER($M$2),IF(AND('Location B'!K22&lt;6,'Location B'!K22&gt;0,'Location A'!K22=0),LOWER($M$3),IF(AND('Location A'!K22+'Location B'!K22&lt;8.5,'Location A'!K22+'Location B'!K22&gt;0),"Both","Error"))))))</f>
        <v/>
      </c>
      <c r="L23" s="155" t="str">
        <f>IF('Location A'!L22+'Location B'!L22=0,"",IF(AND('Location A'!L22&gt;=6,'Location B'!L22=0),UPPER($M$2),IF(AND('Location B'!L22&gt;=6,'Location A'!L22=0),UPPER($M$3),IF(AND('Location A'!L22&gt;0,'Location A'!L22&lt;6,'Location B'!L22=0),LOWER($M$2),IF(AND('Location B'!L22&lt;6,'Location B'!L22&gt;0,'Location A'!L22=0),LOWER($M$3),IF(AND('Location A'!L22+'Location B'!L22&lt;8.5,'Location A'!L22+'Location B'!L22&gt;0),"Both","Error"))))))</f>
        <v/>
      </c>
      <c r="M23" s="155" t="str">
        <f>IF('Location A'!M22+'Location B'!M22=0,"",IF(AND('Location A'!M22&gt;=6,'Location B'!M22=0),UPPER($M$2),IF(AND('Location B'!M22&gt;=6,'Location A'!M22=0),UPPER($M$3),IF(AND('Location A'!M22&gt;0,'Location A'!M22&lt;6,'Location B'!M22=0),LOWER($M$2),IF(AND('Location B'!M22&lt;6,'Location B'!M22&gt;0,'Location A'!M22=0),LOWER($M$3),IF(AND('Location A'!M22+'Location B'!M22&lt;8.5,'Location A'!M22+'Location B'!M22&gt;0),"Both","Error"))))))</f>
        <v/>
      </c>
      <c r="N23" s="156" t="str">
        <f>IF('Location A'!N22+'Location B'!N22=0,"",IF(AND('Location A'!N22&gt;=6,'Location B'!N22=0),UPPER($M$2),IF(AND('Location B'!N22&gt;=6,'Location A'!N22=0),UPPER($M$3),IF(AND('Location A'!N22&gt;0,'Location A'!N22&lt;6,'Location B'!N22=0),LOWER($M$2),IF(AND('Location B'!N22&lt;6,'Location B'!N22&gt;0,'Location A'!N22=0),LOWER($M$3),IF(AND('Location A'!N22+'Location B'!N22&lt;8.5,'Location A'!N22+'Location B'!N22&gt;0),"Both","Error"))))))</f>
        <v/>
      </c>
      <c r="O23" s="151"/>
      <c r="P23" s="302"/>
      <c r="Q23" s="154" t="str">
        <f>IF('Location A'!Q22+'Location B'!Q22=0,"",IF(AND('Location A'!Q22&gt;=6,'Location B'!Q22=0),UPPER($M$2),IF(AND('Location B'!Q22&gt;=6,'Location A'!Q22=0),UPPER($M$3),IF(AND('Location A'!Q22&gt;0,'Location A'!Q22&lt;6,'Location B'!Q22=0),LOWER($M$2),IF(AND('Location B'!Q22&lt;6,'Location B'!Q22&gt;0,'Location A'!Q22=0),LOWER($M$3),IF(AND('Location A'!Q22+'Location B'!Q22&lt;8.5,'Location A'!Q22+'Location B'!Q22&gt;0),"Both","Error"))))))</f>
        <v/>
      </c>
      <c r="R23" s="155" t="str">
        <f>IF('Location A'!R22+'Location B'!R22=0,"",IF(AND('Location A'!R22&gt;=6,'Location B'!R22=0),UPPER($M$2),IF(AND('Location B'!R22&gt;=6,'Location A'!R22=0),UPPER($M$3),IF(AND('Location A'!R22&gt;0,'Location A'!R22&lt;6,'Location B'!R22=0),LOWER($M$2),IF(AND('Location B'!R22&lt;6,'Location B'!R22&gt;0,'Location A'!R22=0),LOWER($M$3),IF(AND('Location A'!R22+'Location B'!R22&lt;8.5,'Location A'!R22+'Location B'!R22&gt;0),"Both","Error"))))))</f>
        <v/>
      </c>
      <c r="S23" s="155" t="str">
        <f>IF('Location A'!S22+'Location B'!S22=0,"",IF(AND('Location A'!S22&gt;=6,'Location B'!S22=0),UPPER($M$2),IF(AND('Location B'!S22&gt;=6,'Location A'!S22=0),UPPER($M$3),IF(AND('Location A'!S22&gt;0,'Location A'!S22&lt;6,'Location B'!S22=0),LOWER($M$2),IF(AND('Location B'!S22&lt;6,'Location B'!S22&gt;0,'Location A'!S22=0),LOWER($M$3),IF(AND('Location A'!S22+'Location B'!S22&lt;8.5,'Location A'!S22+'Location B'!S22&gt;0),"Both","Error"))))))</f>
        <v/>
      </c>
      <c r="T23" s="155" t="str">
        <f>IF('Location A'!T22+'Location B'!T22=0,"",IF(AND('Location A'!T22&gt;=6,'Location B'!T22=0),UPPER($M$2),IF(AND('Location B'!T22&gt;=6,'Location A'!T22=0),UPPER($M$3),IF(AND('Location A'!T22&gt;0,'Location A'!T22&lt;6,'Location B'!T22=0),LOWER($M$2),IF(AND('Location B'!T22&lt;6,'Location B'!T22&gt;0,'Location A'!T22=0),LOWER($M$3),IF(AND('Location A'!T22+'Location B'!T22&lt;8.5,'Location A'!T22+'Location B'!T22&gt;0),"Both","Error"))))))</f>
        <v/>
      </c>
      <c r="U23" s="156" t="str">
        <f>IF('Location A'!U22+'Location B'!U22=0,"",IF(AND('Location A'!U22&gt;=6,'Location B'!U22=0),UPPER($M$2),IF(AND('Location B'!U22&gt;=6,'Location A'!U22=0),UPPER($M$3),IF(AND('Location A'!U22&gt;0,'Location A'!U22&lt;6,'Location B'!U22=0),LOWER($M$2),IF(AND('Location B'!U22&lt;6,'Location B'!U22&gt;0,'Location A'!U22=0),LOWER($M$3),IF(AND('Location A'!U22+'Location B'!U22&lt;8.5,'Location A'!U22+'Location B'!U22&gt;0),"Both","Error"))))))</f>
        <v/>
      </c>
      <c r="V23" s="157"/>
      <c r="W23" s="307"/>
      <c r="X23" s="154" t="str">
        <f>IF('Location A'!X22+'Location B'!X22=0,"",IF(AND('Location A'!X22&gt;=6,'Location B'!X22=0),UPPER($M$2),IF(AND('Location B'!X22&gt;=6,'Location A'!X22=0),UPPER($M$3),IF(AND('Location A'!X22&gt;0,'Location A'!X22&lt;6,'Location B'!X22=0),LOWER($M$2),IF(AND('Location B'!X22&lt;6,'Location B'!X22&gt;0,'Location A'!X22=0),LOWER($M$3),IF(AND('Location A'!X22+'Location B'!X22&lt;8.5,'Location A'!X22+'Location B'!X22&gt;0),"Both","Error"))))))</f>
        <v/>
      </c>
      <c r="Y23" s="155" t="str">
        <f>IF('Location A'!Y22+'Location B'!Y22=0,"",IF(AND('Location A'!Y22&gt;=6,'Location B'!Y22=0),UPPER($M$2),IF(AND('Location B'!Y22&gt;=6,'Location A'!Y22=0),UPPER($M$3),IF(AND('Location A'!Y22&gt;0,'Location A'!Y22&lt;6,'Location B'!Y22=0),LOWER($M$2),IF(AND('Location B'!Y22&lt;6,'Location B'!Y22&gt;0,'Location A'!Y22=0),LOWER($M$3),IF(AND('Location A'!Y22+'Location B'!Y22&lt;8.5,'Location A'!Y22+'Location B'!Y22&gt;0),"Both","Error"))))))</f>
        <v/>
      </c>
      <c r="Z23" s="155" t="str">
        <f>IF('Location A'!Z22+'Location B'!Z22=0,"",IF(AND('Location A'!Z22&gt;=6,'Location B'!Z22=0),UPPER($M$2),IF(AND('Location B'!Z22&gt;=6,'Location A'!Z22=0),UPPER($M$3),IF(AND('Location A'!Z22&gt;0,'Location A'!Z22&lt;6,'Location B'!Z22=0),LOWER($M$2),IF(AND('Location B'!Z22&lt;6,'Location B'!Z22&gt;0,'Location A'!Z22=0),LOWER($M$3),IF(AND('Location A'!Z22+'Location B'!Z22&lt;8.5,'Location A'!Z22+'Location B'!Z22&gt;0),"Both","Error"))))))</f>
        <v/>
      </c>
      <c r="AA23" s="155" t="str">
        <f>IF('Location A'!AA22+'Location B'!AA22=0,"",IF(AND('Location A'!AA22&gt;=6,'Location B'!AA22=0),UPPER($M$2),IF(AND('Location B'!AA22&gt;=6,'Location A'!AA22=0),UPPER($M$3),IF(AND('Location A'!AA22&gt;0,'Location A'!AA22&lt;6,'Location B'!AA22=0),LOWER($M$2),IF(AND('Location B'!AA22&lt;6,'Location B'!AA22&gt;0,'Location A'!AA22=0),LOWER($M$3),IF(AND('Location A'!AA22+'Location B'!AA22&lt;8.5,'Location A'!AA22+'Location B'!AA22&gt;0),"Both","Error"))))))</f>
        <v/>
      </c>
      <c r="AB23" s="156" t="str">
        <f>IF('Location A'!AB22+'Location B'!AB22=0,"",IF(AND('Location A'!AB22&gt;=6,'Location B'!AB22=0),UPPER($M$2),IF(AND('Location B'!AB22&gt;=6,'Location A'!AB22=0),UPPER($M$3),IF(AND('Location A'!AB22&gt;0,'Location A'!AB22&lt;6,'Location B'!AB22=0),LOWER($M$2),IF(AND('Location B'!AB22&lt;6,'Location B'!AB22&gt;0,'Location A'!AB22=0),LOWER($M$3),IF(AND('Location A'!AB22+'Location B'!AB22&lt;8.5,'Location A'!AB22+'Location B'!AB22&gt;0),"Both","Error"))))))</f>
        <v/>
      </c>
      <c r="AC23" s="42"/>
    </row>
    <row r="24" spans="1:61" x14ac:dyDescent="0.25">
      <c r="A24" s="11"/>
      <c r="B24" s="281"/>
      <c r="C24" s="152">
        <f>IF(AND(YEAR(AugOffSet+23)=BegCalYear,MONTH(AugOffSet+23)=8),AugOffSet+23,"")</f>
        <v>46251</v>
      </c>
      <c r="D24" s="177">
        <f>IF(AND(YEAR(AugOffSet+24)=BegCalYear,MONTH(AugOffSet+24)=8),AugOffSet+24,"")</f>
        <v>46252</v>
      </c>
      <c r="E24" s="177">
        <f>IF(AND(YEAR(AugOffSet+25)=BegCalYear,MONTH(AugOffSet+25)=8),AugOffSet+25,"")</f>
        <v>46253</v>
      </c>
      <c r="F24" s="177">
        <f>IF(AND(YEAR(AugOffSet+26)=BegCalYear,MONTH(AugOffSet+26)=8),AugOffSet+26,"")</f>
        <v>46254</v>
      </c>
      <c r="G24" s="178">
        <f>IF(AND(YEAR(AugOffSet+27)=BegCalYear,MONTH(AugOffSet+27)=8),AugOffSet+27,"")</f>
        <v>46255</v>
      </c>
      <c r="H24" s="151"/>
      <c r="I24" s="307"/>
      <c r="J24" s="152">
        <f>IF(AND(YEAR(NovOffSet+23)=BegCalYear,MONTH(NovOffSet+23)=11),NovOffSet+23,"")</f>
        <v>46349</v>
      </c>
      <c r="K24" s="177">
        <f>IF(AND(YEAR(NovOffSet+24)=BegCalYear,MONTH(NovOffSet+24)=11),NovOffSet+24,"")</f>
        <v>46350</v>
      </c>
      <c r="L24" s="177">
        <f>IF(AND(YEAR(NovOffSet+25)=BegCalYear,MONTH(NovOffSet+25)=11),NovOffSet+25,"")</f>
        <v>46351</v>
      </c>
      <c r="M24" s="177">
        <f>IF(AND(YEAR(NovOffSet+26)=BegCalYear,MONTH(NovOffSet+26)=11),NovOffSet+26,"")</f>
        <v>46352</v>
      </c>
      <c r="N24" s="178">
        <f>IF(AND(YEAR(NovOffSet+27)=BegCalYear,MONTH(NovOffSet+27)=11),NovOffSet+27,"")</f>
        <v>46353</v>
      </c>
      <c r="O24" s="151"/>
      <c r="P24" s="302"/>
      <c r="Q24" s="152">
        <f>IF(AND(YEAR(FebOffSet+23)=CalendarYear,MONTH(FebOffSet+23)=2),FebOffSet+23,"")</f>
        <v>46440</v>
      </c>
      <c r="R24" s="177">
        <f>IF(AND(YEAR(FebOffSet+24)=CalendarYear,MONTH(FebOffSet+24)=2),FebOffSet+24,"")</f>
        <v>46441</v>
      </c>
      <c r="S24" s="177">
        <f>IF(AND(YEAR(FebOffSet+25)=CalendarYear,MONTH(FebOffSet+25)=2),FebOffSet+25,"")</f>
        <v>46442</v>
      </c>
      <c r="T24" s="177">
        <f>IF(AND(YEAR(FebOffSet+26)=CalendarYear,MONTH(FebOffSet+26)=2),FebOffSet+26,"")</f>
        <v>46443</v>
      </c>
      <c r="U24" s="178">
        <f>IF(AND(YEAR(FebOffSet+27)=CalendarYear,MONTH(FebOffSet+27)=2),FebOffSet+27,"")</f>
        <v>46444</v>
      </c>
      <c r="V24" s="151"/>
      <c r="W24" s="307"/>
      <c r="X24" s="152">
        <f>IF(AND(YEAR(MayOffSet+23)=CalendarYear,MONTH(MayOffSet+23)=5),MayOffSet+23,"")</f>
        <v>46524</v>
      </c>
      <c r="Y24" s="177">
        <f>IF(AND(YEAR(MayOffSet+24)=CalendarYear,MONTH(MayOffSet+24)=5),MayOffSet+24,"")</f>
        <v>46525</v>
      </c>
      <c r="Z24" s="177">
        <f>IF(AND(YEAR(MayOffSet+25)=CalendarYear,MONTH(MayOffSet+25)=5),MayOffSet+25,"")</f>
        <v>46526</v>
      </c>
      <c r="AA24" s="177">
        <f>IF(AND(YEAR(MayOffSet+26)=CalendarYear,MONTH(MayOffSet+26)=5),MayOffSet+26,"")</f>
        <v>46527</v>
      </c>
      <c r="AB24" s="178">
        <f>IF(AND(YEAR(MayOffSet+27)=CalendarYear,MONTH(MayOffSet+27)=5),MayOffSet+27,"")</f>
        <v>46528</v>
      </c>
      <c r="AC24" s="24"/>
    </row>
    <row r="25" spans="1:61" x14ac:dyDescent="0.25">
      <c r="A25" s="11"/>
      <c r="B25" s="281"/>
      <c r="C25" s="154" t="str">
        <f>IF('Location A'!C24+'Location B'!C24=0,"",IF(AND('Location A'!C24&gt;=6,'Location B'!C24=0),UPPER($M$2),IF(AND('Location B'!C24&gt;=6,'Location A'!C24=0),UPPER($M$3),IF(AND('Location A'!C24&gt;0,'Location A'!C24&lt;6,'Location B'!C24=0),LOWER($M$2),IF(AND('Location B'!C24&lt;6,'Location B'!C24&gt;0,'Location A'!C24=0),LOWER($M$3),IF(AND('Location A'!C24+'Location B'!C24&lt;8.5,'Location A'!C24+'Location B'!C24&gt;0),"Both","Error"))))))</f>
        <v/>
      </c>
      <c r="D25" s="155" t="str">
        <f>IF('Location A'!D24+'Location B'!D24=0,"",IF(AND('Location A'!D24&gt;=6,'Location B'!D24=0),UPPER($M$2),IF(AND('Location B'!D24&gt;=6,'Location A'!D24=0),UPPER($M$3),IF(AND('Location A'!D24&gt;0,'Location A'!D24&lt;6,'Location B'!D24=0),LOWER($M$2),IF(AND('Location B'!D24&lt;6,'Location B'!D24&gt;0,'Location A'!D24=0),LOWER($M$3),IF(AND('Location A'!D24+'Location B'!D24&lt;8.5,'Location A'!D24+'Location B'!D24&gt;0),"Both","Error"))))))</f>
        <v/>
      </c>
      <c r="E25" s="155" t="str">
        <f>IF('Location A'!E24+'Location B'!E24=0,"",IF(AND('Location A'!E24&gt;=6,'Location B'!E24=0),UPPER($M$2),IF(AND('Location B'!E24&gt;=6,'Location A'!E24=0),UPPER($M$3),IF(AND('Location A'!E24&gt;0,'Location A'!E24&lt;6,'Location B'!E24=0),LOWER($M$2),IF(AND('Location B'!E24&lt;6,'Location B'!E24&gt;0,'Location A'!E24=0),LOWER($M$3),IF(AND('Location A'!E24+'Location B'!E24&lt;8.5,'Location A'!E24+'Location B'!E24&gt;0),"Both","Error"))))))</f>
        <v/>
      </c>
      <c r="F25" s="155" t="str">
        <f>IF('Location A'!F24+'Location B'!F24=0,"",IF(AND('Location A'!F24&gt;=6,'Location B'!F24=0),UPPER($M$2),IF(AND('Location B'!F24&gt;=6,'Location A'!F24=0),UPPER($M$3),IF(AND('Location A'!F24&gt;0,'Location A'!F24&lt;6,'Location B'!F24=0),LOWER($M$2),IF(AND('Location B'!F24&lt;6,'Location B'!F24&gt;0,'Location A'!F24=0),LOWER($M$3),IF(AND('Location A'!F24+'Location B'!F24&lt;8.5,'Location A'!F24+'Location B'!F24&gt;0),"Both","Error"))))))</f>
        <v/>
      </c>
      <c r="G25" s="156" t="str">
        <f>IF('Location A'!G24+'Location B'!G24=0,"",IF(AND('Location A'!G24&gt;=6,'Location B'!G24=0),UPPER($M$2),IF(AND('Location B'!G24&gt;=6,'Location A'!G24=0),UPPER($M$3),IF(AND('Location A'!G24&gt;0,'Location A'!G24&lt;6,'Location B'!G24=0),LOWER($M$2),IF(AND('Location B'!G24&lt;6,'Location B'!G24&gt;0,'Location A'!G24=0),LOWER($M$3),IF(AND('Location A'!G24+'Location B'!G24&lt;8.5,'Location A'!G24+'Location B'!G24&gt;0),"Both","Error"))))))</f>
        <v/>
      </c>
      <c r="H25" s="157"/>
      <c r="I25" s="307"/>
      <c r="J25" s="154" t="str">
        <f>IF('Location A'!J24+'Location B'!J24=0,"",IF(AND('Location A'!J24&gt;=6,'Location B'!J24=0),UPPER($M$2),IF(AND('Location B'!J24&gt;=6,'Location A'!J24=0),UPPER($M$3),IF(AND('Location A'!J24&gt;0,'Location A'!J24&lt;6,'Location B'!J24=0),LOWER($M$2),IF(AND('Location B'!J24&lt;6,'Location B'!J24&gt;0,'Location A'!J24=0),LOWER($M$3),IF(AND('Location A'!J24+'Location B'!J24&lt;8.5,'Location A'!J24+'Location B'!J24&gt;0),"Both","Error"))))))</f>
        <v/>
      </c>
      <c r="K25" s="155" t="str">
        <f>IF('Location A'!K24+'Location B'!K24=0,"",IF(AND('Location A'!K24&gt;=6,'Location B'!K24=0),UPPER($M$2),IF(AND('Location B'!K24&gt;=6,'Location A'!K24=0),UPPER($M$3),IF(AND('Location A'!K24&gt;0,'Location A'!K24&lt;6,'Location B'!K24=0),LOWER($M$2),IF(AND('Location B'!K24&lt;6,'Location B'!K24&gt;0,'Location A'!K24=0),LOWER($M$3),IF(AND('Location A'!K24+'Location B'!K24&lt;8.5,'Location A'!K24+'Location B'!K24&gt;0),"Both","Error"))))))</f>
        <v/>
      </c>
      <c r="L25" s="155" t="str">
        <f>IF('Location A'!L24+'Location B'!L24=0,"",IF(AND('Location A'!L24&gt;=6,'Location B'!L24=0),UPPER($M$2),IF(AND('Location B'!L24&gt;=6,'Location A'!L24=0),UPPER($M$3),IF(AND('Location A'!L24&gt;0,'Location A'!L24&lt;6,'Location B'!L24=0),LOWER($M$2),IF(AND('Location B'!L24&lt;6,'Location B'!L24&gt;0,'Location A'!L24=0),LOWER($M$3),IF(AND('Location A'!L24+'Location B'!L24&lt;8.5,'Location A'!L24+'Location B'!L24&gt;0),"Both","Error"))))))</f>
        <v/>
      </c>
      <c r="M25" s="155" t="str">
        <f>IF('Location A'!M24+'Location B'!M24=0,"",IF(AND('Location A'!M24&gt;=6,'Location B'!M24=0),UPPER($M$2),IF(AND('Location B'!M24&gt;=6,'Location A'!M24=0),UPPER($M$3),IF(AND('Location A'!M24&gt;0,'Location A'!M24&lt;6,'Location B'!M24=0),LOWER($M$2),IF(AND('Location B'!M24&lt;6,'Location B'!M24&gt;0,'Location A'!M24=0),LOWER($M$3),IF(AND('Location A'!M24+'Location B'!M24&lt;8.5,'Location A'!M24+'Location B'!M24&gt;0),"Both","Error"))))))</f>
        <v/>
      </c>
      <c r="N25" s="156" t="str">
        <f>IF('Location A'!N24+'Location B'!N24=0,"",IF(AND('Location A'!N24&gt;=6,'Location B'!N24=0),UPPER($M$2),IF(AND('Location B'!N24&gt;=6,'Location A'!N24=0),UPPER($M$3),IF(AND('Location A'!N24&gt;0,'Location A'!N24&lt;6,'Location B'!N24=0),LOWER($M$2),IF(AND('Location B'!N24&lt;6,'Location B'!N24&gt;0,'Location A'!N24=0),LOWER($M$3),IF(AND('Location A'!N24+'Location B'!N24&lt;8.5,'Location A'!N24+'Location B'!N24&gt;0),"Both","Error"))))))</f>
        <v/>
      </c>
      <c r="O25" s="157"/>
      <c r="P25" s="302"/>
      <c r="Q25" s="154" t="str">
        <f>IF('Location A'!Q24+'Location B'!Q24=0,"",IF(AND('Location A'!Q24&gt;=6,'Location B'!Q24=0),UPPER($M$2),IF(AND('Location B'!Q24&gt;=6,'Location A'!Q24=0),UPPER($M$3),IF(AND('Location A'!Q24&gt;0,'Location A'!Q24&lt;6,'Location B'!Q24=0),LOWER($M$2),IF(AND('Location B'!Q24&lt;6,'Location B'!Q24&gt;0,'Location A'!Q24=0),LOWER($M$3),IF(AND('Location A'!Q24+'Location B'!Q24&lt;8.5,'Location A'!Q24+'Location B'!Q24&gt;0),"Both","Error"))))))</f>
        <v/>
      </c>
      <c r="R25" s="155" t="str">
        <f>IF('Location A'!R24+'Location B'!R24=0,"",IF(AND('Location A'!R24&gt;=6,'Location B'!R24=0),UPPER($M$2),IF(AND('Location B'!R24&gt;=6,'Location A'!R24=0),UPPER($M$3),IF(AND('Location A'!R24&gt;0,'Location A'!R24&lt;6,'Location B'!R24=0),LOWER($M$2),IF(AND('Location B'!R24&lt;6,'Location B'!R24&gt;0,'Location A'!R24=0),LOWER($M$3),IF(AND('Location A'!R24+'Location B'!R24&lt;8.5,'Location A'!R24+'Location B'!R24&gt;0),"Both","Error"))))))</f>
        <v/>
      </c>
      <c r="S25" s="155" t="str">
        <f>IF('Location A'!S24+'Location B'!S24=0,"",IF(AND('Location A'!S24&gt;=6,'Location B'!S24=0),UPPER($M$2),IF(AND('Location B'!S24&gt;=6,'Location A'!S24=0),UPPER($M$3),IF(AND('Location A'!S24&gt;0,'Location A'!S24&lt;6,'Location B'!S24=0),LOWER($M$2),IF(AND('Location B'!S24&lt;6,'Location B'!S24&gt;0,'Location A'!S24=0),LOWER($M$3),IF(AND('Location A'!S24+'Location B'!S24&lt;8.5,'Location A'!S24+'Location B'!S24&gt;0),"Both","Error"))))))</f>
        <v/>
      </c>
      <c r="T25" s="155" t="str">
        <f>IF('Location A'!T24+'Location B'!T24=0,"",IF(AND('Location A'!T24&gt;=6,'Location B'!T24=0),UPPER($M$2),IF(AND('Location B'!T24&gt;=6,'Location A'!T24=0),UPPER($M$3),IF(AND('Location A'!T24&gt;0,'Location A'!T24&lt;6,'Location B'!T24=0),LOWER($M$2),IF(AND('Location B'!T24&lt;6,'Location B'!T24&gt;0,'Location A'!T24=0),LOWER($M$3),IF(AND('Location A'!T24+'Location B'!T24&lt;8.5,'Location A'!T24+'Location B'!T24&gt;0),"Both","Error"))))))</f>
        <v/>
      </c>
      <c r="U25" s="156" t="str">
        <f>IF('Location A'!U24+'Location B'!U24=0,"",IF(AND('Location A'!U24&gt;=6,'Location B'!U24=0),UPPER($M$2),IF(AND('Location B'!U24&gt;=6,'Location A'!U24=0),UPPER($M$3),IF(AND('Location A'!U24&gt;0,'Location A'!U24&lt;6,'Location B'!U24=0),LOWER($M$2),IF(AND('Location B'!U24&lt;6,'Location B'!U24&gt;0,'Location A'!U24=0),LOWER($M$3),IF(AND('Location A'!U24+'Location B'!U24&lt;8.5,'Location A'!U24+'Location B'!U24&gt;0),"Both","Error"))))))</f>
        <v/>
      </c>
      <c r="V25" s="157"/>
      <c r="W25" s="307"/>
      <c r="X25" s="154" t="str">
        <f>IF('Location A'!X24+'Location B'!X24=0,"",IF(AND('Location A'!X24&gt;=6,'Location B'!X24=0),UPPER($M$2),IF(AND('Location B'!X24&gt;=6,'Location A'!X24=0),UPPER($M$3),IF(AND('Location A'!X24&gt;0,'Location A'!X24&lt;6,'Location B'!X24=0),LOWER($M$2),IF(AND('Location B'!X24&lt;6,'Location B'!X24&gt;0,'Location A'!X24=0),LOWER($M$3),IF(AND('Location A'!X24+'Location B'!X24&lt;8.5,'Location A'!X24+'Location B'!X24&gt;0),"Both","Error"))))))</f>
        <v/>
      </c>
      <c r="Y25" s="155" t="str">
        <f>IF('Location A'!Y24+'Location B'!Y24=0,"",IF(AND('Location A'!Y24&gt;=6,'Location B'!Y24=0),UPPER($M$2),IF(AND('Location B'!Y24&gt;=6,'Location A'!Y24=0),UPPER($M$3),IF(AND('Location A'!Y24&gt;0,'Location A'!Y24&lt;6,'Location B'!Y24=0),LOWER($M$2),IF(AND('Location B'!Y24&lt;6,'Location B'!Y24&gt;0,'Location A'!Y24=0),LOWER($M$3),IF(AND('Location A'!Y24+'Location B'!Y24&lt;8.5,'Location A'!Y24+'Location B'!Y24&gt;0),"Both","Error"))))))</f>
        <v/>
      </c>
      <c r="Z25" s="155" t="str">
        <f>IF('Location A'!Z24+'Location B'!Z24=0,"",IF(AND('Location A'!Z24&gt;=6,'Location B'!Z24=0),UPPER($M$2),IF(AND('Location B'!Z24&gt;=6,'Location A'!Z24=0),UPPER($M$3),IF(AND('Location A'!Z24&gt;0,'Location A'!Z24&lt;6,'Location B'!Z24=0),LOWER($M$2),IF(AND('Location B'!Z24&lt;6,'Location B'!Z24&gt;0,'Location A'!Z24=0),LOWER($M$3),IF(AND('Location A'!Z24+'Location B'!Z24&lt;8.5,'Location A'!Z24+'Location B'!Z24&gt;0),"Both","Error"))))))</f>
        <v/>
      </c>
      <c r="AA25" s="155" t="str">
        <f>IF('Location A'!AA24+'Location B'!AA24=0,"",IF(AND('Location A'!AA24&gt;=6,'Location B'!AA24=0),UPPER($M$2),IF(AND('Location B'!AA24&gt;=6,'Location A'!AA24=0),UPPER($M$3),IF(AND('Location A'!AA24&gt;0,'Location A'!AA24&lt;6,'Location B'!AA24=0),LOWER($M$2),IF(AND('Location B'!AA24&lt;6,'Location B'!AA24&gt;0,'Location A'!AA24=0),LOWER($M$3),IF(AND('Location A'!AA24+'Location B'!AA24&lt;8.5,'Location A'!AA24+'Location B'!AA24&gt;0),"Both","Error"))))))</f>
        <v/>
      </c>
      <c r="AB25" s="156" t="str">
        <f>IF('Location A'!AB24+'Location B'!AB24=0,"",IF(AND('Location A'!AB24&gt;=6,'Location B'!AB24=0),UPPER($M$2),IF(AND('Location B'!AB24&gt;=6,'Location A'!AB24=0),UPPER($M$3),IF(AND('Location A'!AB24&gt;0,'Location A'!AB24&lt;6,'Location B'!AB24=0),LOWER($M$2),IF(AND('Location B'!AB24&lt;6,'Location B'!AB24&gt;0,'Location A'!AB24=0),LOWER($M$3),IF(AND('Location A'!AB24+'Location B'!AB24&lt;8.5,'Location A'!AB24+'Location B'!AB24&gt;0),"Both","Error"))))))</f>
        <v/>
      </c>
      <c r="AC25" s="26"/>
    </row>
    <row r="26" spans="1:61" ht="15.75" thickBot="1" x14ac:dyDescent="0.3">
      <c r="A26" s="11"/>
      <c r="B26" s="282"/>
      <c r="C26" s="158">
        <f>IF(AND(YEAR(AugOffSet+30)=BegCalYear,MONTH(AugOffSet+30)=8),AugOffSet+30,"")</f>
        <v>46258</v>
      </c>
      <c r="D26" s="159">
        <f>IF(AND(YEAR(AugOffSet+31)=BegCalYear,MONTH(AugOffSet+31)=8),AugOffSet+31,"")</f>
        <v>46259</v>
      </c>
      <c r="E26" s="159">
        <f>IF(AND(YEAR(AugOffSet+32)=BegCalYear,MONTH(AugOffSet+32)=8),AugOffSet+32,"")</f>
        <v>46260</v>
      </c>
      <c r="F26" s="159">
        <f>IF(AND(YEAR(AugOffSet+33)=BegCalYear,MONTH(AugOffSet+33)=8),AugOffSet+33,"")</f>
        <v>46261</v>
      </c>
      <c r="G26" s="160">
        <f>IF(AND(YEAR(AugOffSet+34)=BegCalYear,MONTH(AugOffSet+34)=8),AugOffSet+34,"")</f>
        <v>46262</v>
      </c>
      <c r="H26" s="161"/>
      <c r="I26" s="308"/>
      <c r="J26" s="158">
        <f>IF(AND(YEAR(NovOffSet+30)=BegCalYear,MONTH(NovOffSet+30)=11),NovOffSet+30,"")</f>
        <v>46356</v>
      </c>
      <c r="K26" s="159" t="str">
        <f>IF(AND(YEAR(NovOffSet+31)=BegCalYear,MONTH(NovOffSet+31)=11),NovOffSet+31,"")</f>
        <v/>
      </c>
      <c r="L26" s="159" t="str">
        <f>IF(AND(YEAR(NovOffSet+32)=BegCalYear,MONTH(NovOffSet+32)=11),NovOffSet+32,"")</f>
        <v/>
      </c>
      <c r="M26" s="159" t="str">
        <f>IF(AND(YEAR(NovOffSet+33)=BegCalYear,MONTH(NovOffSet+33)=11),NovOffSet+33,"")</f>
        <v/>
      </c>
      <c r="N26" s="160" t="str">
        <f>IF(AND(YEAR(NovOffSet+34)=BegCalYear,MONTH(NovOffSet+34)=11),NovOffSet+34,"")</f>
        <v/>
      </c>
      <c r="O26" s="161"/>
      <c r="P26" s="303"/>
      <c r="Q26" s="158" t="str">
        <f>IF(AND(YEAR(FebOffSet+30)=CalendarYear,MONTH(FebOffSet+30)=2),FebOffSet+30,"")</f>
        <v/>
      </c>
      <c r="R26" s="159" t="str">
        <f>IF(AND(YEAR(FebOffSet+31)=CalendarYear,MONTH(FebOffSet+31)=2),FebOffSet+31,"")</f>
        <v/>
      </c>
      <c r="S26" s="159" t="str">
        <f>IF(AND(YEAR(FebOffSet+32)=CalendarYear,MONTH(FebOffSet+32)=2),FebOffSet+32,"")</f>
        <v/>
      </c>
      <c r="T26" s="159" t="str">
        <f>IF(AND(YEAR(FebOffSet+33)=CalendarYear,MONTH(FebOffSet+33)=2),FebOffSet+33,"")</f>
        <v/>
      </c>
      <c r="U26" s="160" t="str">
        <f>IF(AND(YEAR(FebOffSet+34)=CalendarYear,MONTH(FebOffSet+34)=2),FebOffSet+34,"")</f>
        <v/>
      </c>
      <c r="V26" s="161"/>
      <c r="W26" s="308"/>
      <c r="X26" s="158">
        <f>IF(AND(YEAR(MayOffSet+30)=CalendarYear,MONTH(MayOffSet+30)=5),MayOffSet+30,"")</f>
        <v>46531</v>
      </c>
      <c r="Y26" s="159">
        <f>IF(AND(YEAR(MayOffSet+31)=CalendarYear,MONTH(MayOffSet+31)=5),MayOffSet+31,"")</f>
        <v>46532</v>
      </c>
      <c r="Z26" s="159">
        <f>IF(AND(YEAR(MayOffSet+32)=CalendarYear,MONTH(MayOffSet+32)=5),MayOffSet+32,"")</f>
        <v>46533</v>
      </c>
      <c r="AA26" s="159">
        <f>IF(AND(YEAR(MayOffSet+33)=CalendarYear,MONTH(MayOffSet+33)=5),MayOffSet+33,"")</f>
        <v>46534</v>
      </c>
      <c r="AB26" s="160">
        <f>IF(AND(YEAR(MayOffSet+34)=CalendarYear,MONTH(MayOffSet+34)=5),MayOffSet+34,"")</f>
        <v>46535</v>
      </c>
      <c r="AC26" s="43"/>
    </row>
    <row r="27" spans="1:61" ht="15.75" thickBot="1" x14ac:dyDescent="0.3">
      <c r="A27" s="11"/>
      <c r="B27" s="16"/>
      <c r="C27" s="151"/>
      <c r="D27" s="151"/>
      <c r="E27" s="151"/>
      <c r="F27" s="151"/>
      <c r="G27" s="151"/>
      <c r="H27" s="157"/>
      <c r="I27" s="162"/>
      <c r="J27" s="151"/>
      <c r="K27" s="151"/>
      <c r="L27" s="151"/>
      <c r="M27" s="151"/>
      <c r="N27" s="151"/>
      <c r="O27" s="157"/>
      <c r="P27" s="162"/>
      <c r="Q27" s="151"/>
      <c r="R27" s="151"/>
      <c r="S27" s="151"/>
      <c r="T27" s="151"/>
      <c r="U27" s="151"/>
      <c r="V27" s="157"/>
      <c r="W27" s="162"/>
      <c r="X27" s="151"/>
      <c r="Y27" s="151"/>
      <c r="Z27" s="151"/>
      <c r="AA27" s="151"/>
      <c r="AB27" s="151"/>
      <c r="AC27" s="42"/>
    </row>
    <row r="28" spans="1:61" ht="15" customHeight="1" x14ac:dyDescent="0.25">
      <c r="A28" s="11"/>
      <c r="B28" s="280" t="s">
        <v>23</v>
      </c>
      <c r="C28" s="147" t="str">
        <f>IF('Location A'!C27+'Location B'!C27=0,"",IF(AND('Location A'!C27&gt;=6,'Location B'!C27=0),UPPER($M$2),IF(AND('Location B'!C27&gt;=6,'Location A'!C27=0),UPPER($M$3),IF(AND('Location A'!C27&gt;0,'Location A'!C27&lt;6,'Location B'!C27=0),LOWER($M$2),IF(AND('Location B'!C27&lt;6,'Location B'!C27&gt;0,'Location A'!C27=0),LOWER($M$3),IF(AND('Location A'!C27+'Location B'!C27&lt;8.5,'Location A'!C27+'Location B'!C27&gt;0),"Both","Error"))))))</f>
        <v/>
      </c>
      <c r="D28" s="148" t="str">
        <f>IF('Location A'!D27+'Location B'!D27=0,"",IF(AND('Location A'!D27&gt;=6,'Location B'!D27=0),UPPER($M$2),IF(AND('Location B'!D27&gt;=6,'Location A'!D27=0),UPPER($M$3),IF(AND('Location A'!D27&gt;0,'Location A'!D27&lt;6,'Location B'!D27=0),LOWER($M$2),IF(AND('Location B'!D27&lt;6,'Location B'!D27&gt;0,'Location A'!D27=0),LOWER($M$3),IF(AND('Location A'!D27+'Location B'!D27&lt;8.5,'Location A'!D27+'Location B'!D27&gt;0),"Both","Error"))))))</f>
        <v/>
      </c>
      <c r="E28" s="148" t="str">
        <f>IF('Location A'!E27+'Location B'!E27=0,"",IF(AND('Location A'!E27&gt;=6,'Location B'!E27=0),UPPER($M$2),IF(AND('Location B'!E27&gt;=6,'Location A'!E27=0),UPPER($M$3),IF(AND('Location A'!E27&gt;0,'Location A'!E27&lt;6,'Location B'!E27=0),LOWER($M$2),IF(AND('Location B'!E27&lt;6,'Location B'!E27&gt;0,'Location A'!E27=0),LOWER($M$3),IF(AND('Location A'!E27+'Location B'!E27&lt;8.5,'Location A'!E27+'Location B'!E27&gt;0),"Both","Error"))))))</f>
        <v/>
      </c>
      <c r="F28" s="148" t="str">
        <f>IF('Location A'!F27+'Location B'!F27=0,"",IF(AND('Location A'!F27&gt;=6,'Location B'!F27=0),UPPER($M$2),IF(AND('Location B'!F27&gt;=6,'Location A'!F27=0),UPPER($M$3),IF(AND('Location A'!F27&gt;0,'Location A'!F27&lt;6,'Location B'!F27=0),LOWER($M$2),IF(AND('Location B'!F27&lt;6,'Location B'!F27&gt;0,'Location A'!F27=0),LOWER($M$3),IF(AND('Location A'!F27+'Location B'!F27&lt;8.5,'Location A'!F27+'Location B'!F27&gt;0),"Both","Error"))))))</f>
        <v/>
      </c>
      <c r="G28" s="149" t="str">
        <f>IF('Location A'!G27+'Location B'!G27=0,"",IF(AND('Location A'!G27&gt;=6,'Location B'!G27=0),UPPER($M$2),IF(AND('Location B'!G27&gt;=6,'Location A'!G27=0),UPPER($M$3),IF(AND('Location A'!G27&gt;0,'Location A'!G27&lt;6,'Location B'!G27=0),LOWER($M$2),IF(AND('Location B'!G27&lt;6,'Location B'!G27&gt;0,'Location A'!G27=0),LOWER($M$3),IF(AND('Location A'!G27+'Location B'!G27&lt;8.5,'Location A'!G27+'Location B'!G27&gt;0),"Both","Error"))))))</f>
        <v/>
      </c>
      <c r="H28" s="150"/>
      <c r="I28" s="306" t="s">
        <v>24</v>
      </c>
      <c r="J28" s="147" t="str">
        <f>IF('Location A'!J27+'Location B'!J27=0,"",IF(AND('Location A'!J27&gt;=6,'Location B'!J27=0),UPPER($M$2),IF(AND('Location B'!J27&gt;=6,'Location A'!J27=0),UPPER($M$3),IF(AND('Location A'!J27&gt;0,'Location A'!J27&lt;6,'Location B'!J27=0),LOWER($M$2),IF(AND('Location B'!J27&lt;6,'Location B'!J27&gt;0,'Location A'!J27=0),LOWER($M$3),IF(AND('Location A'!J27+'Location B'!J27&lt;8.5,'Location A'!J27+'Location B'!J27&gt;0),"Both","Error"))))))</f>
        <v/>
      </c>
      <c r="K28" s="148" t="str">
        <f>IF('Location A'!K27+'Location B'!K27=0,"",IF(AND('Location A'!K27&gt;=6,'Location B'!K27=0),UPPER($M$2),IF(AND('Location B'!K27&gt;=6,'Location A'!K27=0),UPPER($M$3),IF(AND('Location A'!K27&gt;0,'Location A'!K27&lt;6,'Location B'!K27=0),LOWER($M$2),IF(AND('Location B'!K27&lt;6,'Location B'!K27&gt;0,'Location A'!K27=0),LOWER($M$3),IF(AND('Location A'!K27+'Location B'!K27&lt;8.5,'Location A'!K27+'Location B'!K27&gt;0),"Both","Error"))))))</f>
        <v/>
      </c>
      <c r="L28" s="148" t="str">
        <f>IF('Location A'!L27+'Location B'!L27=0,"",IF(AND('Location A'!L27&gt;=6,'Location B'!L27=0),UPPER($M$2),IF(AND('Location B'!L27&gt;=6,'Location A'!L27=0),UPPER($M$3),IF(AND('Location A'!L27&gt;0,'Location A'!L27&lt;6,'Location B'!L27=0),LOWER($M$2),IF(AND('Location B'!L27&lt;6,'Location B'!L27&gt;0,'Location A'!L27=0),LOWER($M$3),IF(AND('Location A'!L27+'Location B'!L27&lt;8.5,'Location A'!L27+'Location B'!L27&gt;0),"Both","Error"))))))</f>
        <v/>
      </c>
      <c r="M28" s="148" t="str">
        <f>IF('Location A'!M27+'Location B'!M27=0,"",IF(AND('Location A'!M27&gt;=6,'Location B'!M27=0),UPPER($M$2),IF(AND('Location B'!M27&gt;=6,'Location A'!M27=0),UPPER($M$3),IF(AND('Location A'!M27&gt;0,'Location A'!M27&lt;6,'Location B'!M27=0),LOWER($M$2),IF(AND('Location B'!M27&lt;6,'Location B'!M27&gt;0,'Location A'!M27=0),LOWER($M$3),IF(AND('Location A'!M27+'Location B'!M27&lt;8.5,'Location A'!M27+'Location B'!M27&gt;0),"Both","Error"))))))</f>
        <v/>
      </c>
      <c r="N28" s="149" t="str">
        <f>IF('Location A'!N27+'Location B'!N27=0,"",IF(AND('Location A'!N27&gt;=6,'Location B'!N27=0),UPPER($M$2),IF(AND('Location B'!N27&gt;=6,'Location A'!N27=0),UPPER($M$3),IF(AND('Location A'!N27&gt;0,'Location A'!N27&lt;6,'Location B'!N27=0),LOWER($M$2),IF(AND('Location B'!N27&lt;6,'Location B'!N27&gt;0,'Location A'!N27=0),LOWER($M$3),IF(AND('Location A'!N27+'Location B'!N27&lt;8.5,'Location A'!N27+'Location B'!N27&gt;0),"Both","Error"))))))</f>
        <v/>
      </c>
      <c r="O28" s="151"/>
      <c r="P28" s="301" t="s">
        <v>25</v>
      </c>
      <c r="Q28" s="147" t="str">
        <f>IF('Location A'!Q27+'Location B'!Q27=0,"",IF(AND('Location A'!Q27&gt;=6,'Location B'!Q27=0),UPPER($M$2),IF(AND('Location B'!Q27&gt;=6,'Location A'!Q27=0),UPPER($M$3),IF(AND('Location A'!Q27&gt;0,'Location A'!Q27&lt;6,'Location B'!Q27=0),LOWER($M$2),IF(AND('Location B'!Q27&lt;6,'Location B'!Q27&gt;0,'Location A'!Q27=0),LOWER($M$3),IF(AND('Location A'!Q27+'Location B'!Q27&lt;8.5,'Location A'!Q27+'Location B'!Q27&gt;0),"Both","Error"))))))</f>
        <v/>
      </c>
      <c r="R28" s="148" t="str">
        <f>IF('Location A'!R27+'Location B'!R27=0,"",IF(AND('Location A'!R27&gt;=6,'Location B'!R27=0),UPPER($M$2),IF(AND('Location B'!R27&gt;=6,'Location A'!R27=0),UPPER($M$3),IF(AND('Location A'!R27&gt;0,'Location A'!R27&lt;6,'Location B'!R27=0),LOWER($M$2),IF(AND('Location B'!R27&lt;6,'Location B'!R27&gt;0,'Location A'!R27=0),LOWER($M$3),IF(AND('Location A'!R27+'Location B'!R27&lt;8.5,'Location A'!R27+'Location B'!R27&gt;0),"Both","Error"))))))</f>
        <v/>
      </c>
      <c r="S28" s="148" t="str">
        <f>IF('Location A'!S27+'Location B'!S27=0,"",IF(AND('Location A'!S27&gt;=6,'Location B'!S27=0),UPPER($M$2),IF(AND('Location B'!S27&gt;=6,'Location A'!S27=0),UPPER($M$3),IF(AND('Location A'!S27&gt;0,'Location A'!S27&lt;6,'Location B'!S27=0),LOWER($M$2),IF(AND('Location B'!S27&lt;6,'Location B'!S27&gt;0,'Location A'!S27=0),LOWER($M$3),IF(AND('Location A'!S27+'Location B'!S27&lt;8.5,'Location A'!S27+'Location B'!S27&gt;0),"Both","Error"))))))</f>
        <v/>
      </c>
      <c r="T28" s="148" t="str">
        <f>IF('Location A'!T27+'Location B'!T27=0,"",IF(AND('Location A'!T27&gt;=6,'Location B'!T27=0),UPPER($M$2),IF(AND('Location B'!T27&gt;=6,'Location A'!T27=0),UPPER($M$3),IF(AND('Location A'!T27&gt;0,'Location A'!T27&lt;6,'Location B'!T27=0),LOWER($M$2),IF(AND('Location B'!T27&lt;6,'Location B'!T27&gt;0,'Location A'!T27=0),LOWER($M$3),IF(AND('Location A'!T27+'Location B'!T27&lt;8.5,'Location A'!T27+'Location B'!T27&gt;0),"Both","Error"))))))</f>
        <v/>
      </c>
      <c r="U28" s="149" t="str">
        <f>IF('Location A'!U27+'Location B'!U27=0,"",IF(AND('Location A'!U27&gt;=6,'Location B'!U27=0),UPPER($M$2),IF(AND('Location B'!U27&gt;=6,'Location A'!U27=0),UPPER($M$3),IF(AND('Location A'!U27&gt;0,'Location A'!U27&lt;6,'Location B'!U27=0),LOWER($M$2),IF(AND('Location B'!U27&lt;6,'Location B'!U27&gt;0,'Location A'!U27=0),LOWER($M$3),IF(AND('Location A'!U27+'Location B'!U27&lt;8.5,'Location A'!U27+'Location B'!U27&gt;0),"Both","Error"))))))</f>
        <v/>
      </c>
      <c r="V28" s="151"/>
      <c r="W28" s="306" t="s">
        <v>80</v>
      </c>
      <c r="X28" s="147" t="str">
        <f>IF('Location A'!X27+'Location B'!X27=0,"",IF(AND('Location A'!X27&gt;=6,'Location B'!X27=0),UPPER($M$2),IF(AND('Location B'!X27&gt;=6,'Location A'!X27=0),UPPER($M$3),IF(AND('Location A'!X27&gt;0,'Location A'!X27&lt;6,'Location B'!X27=0),LOWER($M$2),IF(AND('Location B'!X27&lt;6,'Location B'!X27&gt;0,'Location A'!X27=0),LOWER($M$3),IF(AND('Location A'!X27+'Location B'!X27&lt;8.5,'Location A'!X27+'Location B'!X27&gt;0),"Both","Error"))))))</f>
        <v/>
      </c>
      <c r="Y28" s="148" t="str">
        <f>IF('Location A'!Y27+'Location B'!Y27=0,"",IF(AND('Location A'!Y27&gt;=6,'Location B'!Y27=0),UPPER($M$2),IF(AND('Location B'!Y27&gt;=6,'Location A'!Y27=0),UPPER($M$3),IF(AND('Location A'!Y27&gt;0,'Location A'!Y27&lt;6,'Location B'!Y27=0),LOWER($M$2),IF(AND('Location B'!Y27&lt;6,'Location B'!Y27&gt;0,'Location A'!Y27=0),LOWER($M$3),IF(AND('Location A'!Y27+'Location B'!Y27&lt;8.5,'Location A'!Y27+'Location B'!Y27&gt;0),"Both","Error"))))))</f>
        <v/>
      </c>
      <c r="Z28" s="148" t="str">
        <f>IF('Location A'!Z27+'Location B'!Z27=0,"",IF(AND('Location A'!Z27&gt;=6,'Location B'!Z27=0),UPPER($M$2),IF(AND('Location B'!Z27&gt;=6,'Location A'!Z27=0),UPPER($M$3),IF(AND('Location A'!Z27&gt;0,'Location A'!Z27&lt;6,'Location B'!Z27=0),LOWER($M$2),IF(AND('Location B'!Z27&lt;6,'Location B'!Z27&gt;0,'Location A'!Z27=0),LOWER($M$3),IF(AND('Location A'!Z27+'Location B'!Z27&lt;8.5,'Location A'!Z27+'Location B'!Z27&gt;0),"Both","Error"))))))</f>
        <v/>
      </c>
      <c r="AA28" s="148" t="str">
        <f>IF('Location A'!AA27+'Location B'!AA27=0,"",IF(AND('Location A'!AA27&gt;=6,'Location B'!AA27=0),UPPER($M$2),IF(AND('Location B'!AA27&gt;=6,'Location A'!AA27=0),UPPER($M$3),IF(AND('Location A'!AA27&gt;0,'Location A'!AA27&lt;6,'Location B'!AA27=0),LOWER($M$2),IF(AND('Location B'!AA27&lt;6,'Location B'!AA27&gt;0,'Location A'!AA27=0),LOWER($M$3),IF(AND('Location A'!AA27+'Location B'!AA27&lt;8.5,'Location A'!AA27+'Location B'!AA27&gt;0),"Both","Error"))))))</f>
        <v/>
      </c>
      <c r="AB28" s="149" t="str">
        <f>IF('Location A'!AB27+'Location B'!AB27=0,"",IF(AND('Location A'!AB27&gt;=6,'Location B'!AB27=0),UPPER($M$2),IF(AND('Location B'!AB27&gt;=6,'Location A'!AB27=0),UPPER($M$3),IF(AND('Location A'!AB27&gt;0,'Location A'!AB27&lt;6,'Location B'!AB27=0),LOWER($M$2),IF(AND('Location B'!AB27&lt;6,'Location B'!AB27&gt;0,'Location A'!AB27=0),LOWER($M$3),IF(AND('Location A'!AB27+'Location B'!AB27&lt;8.5,'Location A'!AB27+'Location B'!AB27&gt;0),"Both","Error"))))))</f>
        <v/>
      </c>
      <c r="AC28" s="42"/>
    </row>
    <row r="29" spans="1:61" x14ac:dyDescent="0.25">
      <c r="A29" s="11"/>
      <c r="B29" s="281"/>
      <c r="C29" s="88">
        <f>IF(AND(YEAR(AugOffSet+37)=BegCalYear,MONTH(AugOffSet+37)=8),AugOffSet+37,"")</f>
        <v>46265</v>
      </c>
      <c r="D29" s="177">
        <f>IF(AND(YEAR(SeptOffSet+3)=BegCalYear,MONTH(SeptOffSet+3)=9),SeptOffSet+3,"")</f>
        <v>46266</v>
      </c>
      <c r="E29" s="177">
        <f>IF(AND(YEAR(SeptOffSet+4)=BegCalYear,MONTH(SeptOffSet+4)=9),SeptOffSet+4,"")</f>
        <v>46267</v>
      </c>
      <c r="F29" s="177">
        <f>IF(AND(YEAR(SeptOffSet+5)=BegCalYear,MONTH(SeptOffSet+5)=9),SeptOffSet+5,"")</f>
        <v>46268</v>
      </c>
      <c r="G29" s="178">
        <f>IF(AND(YEAR(SeptOffSet+6)=BegCalYear,MONTH(SeptOffSet+6)=9),SeptOffSet+6,"")</f>
        <v>46269</v>
      </c>
      <c r="H29" s="153"/>
      <c r="I29" s="307"/>
      <c r="J29" s="152" t="str">
        <f>IF(AND(YEAR(DecOffSet+2)=BegCalYear,MONTH(DecOffSet+2)=12),DecOffSet+2,"")</f>
        <v/>
      </c>
      <c r="K29" s="177">
        <f>IF(AND(YEAR(DecOffSet+3)=BegCalYear,MONTH(DecOffSet+3)=12),DecOffSet+3,"")</f>
        <v>46357</v>
      </c>
      <c r="L29" s="177">
        <f>IF(AND(YEAR(DecOffSet+4)=BegCalYear,MONTH(DecOffSet+4)=12),DecOffSet+4,"")</f>
        <v>46358</v>
      </c>
      <c r="M29" s="177">
        <f>IF(AND(YEAR(DecOffSet+5)=BegCalYear,MONTH(DecOffSet+5)=12),DecOffSet+5,"")</f>
        <v>46359</v>
      </c>
      <c r="N29" s="178">
        <f>IF(AND(YEAR(DecOffSet+6)=BegCalYear,MONTH(DecOffSet+6)=12),DecOffSet+6,"")</f>
        <v>46360</v>
      </c>
      <c r="O29" s="151"/>
      <c r="P29" s="302"/>
      <c r="Q29" s="152">
        <f>IF(AND(YEAR(MarOffSet+2)=CalendarYear,MONTH(MarOffSet+2)=3),MarOffSet+2,"")</f>
        <v>46447</v>
      </c>
      <c r="R29" s="177">
        <f>IF(AND(YEAR(MarOffSet+3)=CalendarYear,MONTH(MarOffSet+3)=3),MarOffSet+3,"")</f>
        <v>46448</v>
      </c>
      <c r="S29" s="177">
        <f>IF(AND(YEAR(MarOffSet+4)=CalendarYear,MONTH(MarOffSet+4)=3),MarOffSet+4,"")</f>
        <v>46449</v>
      </c>
      <c r="T29" s="177">
        <f>IF(AND(YEAR(MarOffSet+5)=CalendarYear,MONTH(MarOffSet+5)=3),MarOffSet+5,"")</f>
        <v>46450</v>
      </c>
      <c r="U29" s="178">
        <f>IF(AND(YEAR(MarOffSet+6)=CalendarYear,MONTH(MarOffSet+6)=3),MarOffSet+6,"")</f>
        <v>46451</v>
      </c>
      <c r="V29" s="151"/>
      <c r="W29" s="307"/>
      <c r="X29" s="152" t="str">
        <f>IF(AND(YEAR(JuneOffSet+2)=CalendarYear,MONTH(JuneOffSet+2)=6),JuneOffSet+2,"")</f>
        <v/>
      </c>
      <c r="Y29" s="177">
        <f>IF(AND(YEAR(JuneOffSet+3)=CalendarYear,MONTH(JuneOffSet+3)=6),JuneOffSet+3,"")</f>
        <v>46539</v>
      </c>
      <c r="Z29" s="177">
        <f>IF(AND(YEAR(JuneOffSet+4)=CalendarYear,MONTH(JuneOffSet+4)=6),JuneOffSet+4,"")</f>
        <v>46540</v>
      </c>
      <c r="AA29" s="177">
        <f>IF(AND(YEAR(JuneOffSet+5)=CalendarYear,MONTH(JuneOffSet+5)=6),JuneOffSet+5,"")</f>
        <v>46541</v>
      </c>
      <c r="AB29" s="178">
        <f>IF(AND(YEAR(JuneOffSet+6)=CalendarYear,MONTH(JuneOffSet+6)=6),JuneOffSet+6,"")</f>
        <v>46542</v>
      </c>
      <c r="AC29" s="42"/>
    </row>
    <row r="30" spans="1:61" ht="15" customHeight="1" x14ac:dyDescent="0.25">
      <c r="A30" s="11"/>
      <c r="B30" s="281"/>
      <c r="C30" s="154" t="str">
        <f>IF('Location A'!C29+'Location B'!C29=0,"",IF(AND('Location A'!C29&gt;=6,'Location B'!C29=0),UPPER($M$2),IF(AND('Location B'!C29&gt;=6,'Location A'!C29=0),UPPER($M$3),IF(AND('Location A'!C29&gt;0,'Location A'!C29&lt;6,'Location B'!C29=0),LOWER($M$2),IF(AND('Location B'!C29&lt;6,'Location B'!C29&gt;0,'Location A'!C29=0),LOWER($M$3),IF(AND('Location A'!C29+'Location B'!C29&lt;8.5,'Location A'!C29+'Location B'!C29&gt;0),"Both","Error"))))))</f>
        <v/>
      </c>
      <c r="D30" s="155" t="str">
        <f>IF('Location A'!D29+'Location B'!D29=0,"",IF(AND('Location A'!D29&gt;=6,'Location B'!D29=0),UPPER($M$2),IF(AND('Location B'!D29&gt;=6,'Location A'!D29=0),UPPER($M$3),IF(AND('Location A'!D29&gt;0,'Location A'!D29&lt;6,'Location B'!D29=0),LOWER($M$2),IF(AND('Location B'!D29&lt;6,'Location B'!D29&gt;0,'Location A'!D29=0),LOWER($M$3),IF(AND('Location A'!D29+'Location B'!D29&lt;8.5,'Location A'!D29+'Location B'!D29&gt;0),"Both","Error"))))))</f>
        <v/>
      </c>
      <c r="E30" s="155" t="str">
        <f>IF('Location A'!E29+'Location B'!E29=0,"",IF(AND('Location A'!E29&gt;=6,'Location B'!E29=0),UPPER($M$2),IF(AND('Location B'!E29&gt;=6,'Location A'!E29=0),UPPER($M$3),IF(AND('Location A'!E29&gt;0,'Location A'!E29&lt;6,'Location B'!E29=0),LOWER($M$2),IF(AND('Location B'!E29&lt;6,'Location B'!E29&gt;0,'Location A'!E29=0),LOWER($M$3),IF(AND('Location A'!E29+'Location B'!E29&lt;8.5,'Location A'!E29+'Location B'!E29&gt;0),"Both","Error"))))))</f>
        <v/>
      </c>
      <c r="F30" s="155" t="str">
        <f>IF('Location A'!F29+'Location B'!F29=0,"",IF(AND('Location A'!F29&gt;=6,'Location B'!F29=0),UPPER($M$2),IF(AND('Location B'!F29&gt;=6,'Location A'!F29=0),UPPER($M$3),IF(AND('Location A'!F29&gt;0,'Location A'!F29&lt;6,'Location B'!F29=0),LOWER($M$2),IF(AND('Location B'!F29&lt;6,'Location B'!F29&gt;0,'Location A'!F29=0),LOWER($M$3),IF(AND('Location A'!F29+'Location B'!F29&lt;8.5,'Location A'!F29+'Location B'!F29&gt;0),"Both","Error"))))))</f>
        <v/>
      </c>
      <c r="G30" s="156" t="str">
        <f>IF('Location A'!G29+'Location B'!G29=0,"",IF(AND('Location A'!G29&gt;=6,'Location B'!G29=0),UPPER($M$2),IF(AND('Location B'!G29&gt;=6,'Location A'!G29=0),UPPER($M$3),IF(AND('Location A'!G29&gt;0,'Location A'!G29&lt;6,'Location B'!G29=0),LOWER($M$2),IF(AND('Location B'!G29&lt;6,'Location B'!G29&gt;0,'Location A'!G29=0),LOWER($M$3),IF(AND('Location A'!G29+'Location B'!G29&lt;8.5,'Location A'!G29+'Location B'!G29&gt;0),"Both","Error"))))))</f>
        <v/>
      </c>
      <c r="H30" s="153"/>
      <c r="I30" s="307"/>
      <c r="J30" s="154" t="str">
        <f>IF('Location A'!J29+'Location B'!J29=0,"",IF(AND('Location A'!J29&gt;=6,'Location B'!J29=0),UPPER($M$2),IF(AND('Location B'!J29&gt;=6,'Location A'!J29=0),UPPER($M$3),IF(AND('Location A'!J29&gt;0,'Location A'!J29&lt;6,'Location B'!J29=0),LOWER($M$2),IF(AND('Location B'!J29&lt;6,'Location B'!J29&gt;0,'Location A'!J29=0),LOWER($M$3),IF(AND('Location A'!J29+'Location B'!J29&lt;8.5,'Location A'!J29+'Location B'!J29&gt;0),"Both","Error"))))))</f>
        <v/>
      </c>
      <c r="K30" s="155" t="str">
        <f>IF('Location A'!K29+'Location B'!K29=0,"",IF(AND('Location A'!K29&gt;=6,'Location B'!K29=0),UPPER($M$2),IF(AND('Location B'!K29&gt;=6,'Location A'!K29=0),UPPER($M$3),IF(AND('Location A'!K29&gt;0,'Location A'!K29&lt;6,'Location B'!K29=0),LOWER($M$2),IF(AND('Location B'!K29&lt;6,'Location B'!K29&gt;0,'Location A'!K29=0),LOWER($M$3),IF(AND('Location A'!K29+'Location B'!K29&lt;8.5,'Location A'!K29+'Location B'!K29&gt;0),"Both","Error"))))))</f>
        <v/>
      </c>
      <c r="L30" s="155" t="str">
        <f>IF('Location A'!L29+'Location B'!L29=0,"",IF(AND('Location A'!L29&gt;=6,'Location B'!L29=0),UPPER($M$2),IF(AND('Location B'!L29&gt;=6,'Location A'!L29=0),UPPER($M$3),IF(AND('Location A'!L29&gt;0,'Location A'!L29&lt;6,'Location B'!L29=0),LOWER($M$2),IF(AND('Location B'!L29&lt;6,'Location B'!L29&gt;0,'Location A'!L29=0),LOWER($M$3),IF(AND('Location A'!L29+'Location B'!L29&lt;8.5,'Location A'!L29+'Location B'!L29&gt;0),"Both","Error"))))))</f>
        <v/>
      </c>
      <c r="M30" s="155" t="str">
        <f>IF('Location A'!M29+'Location B'!M29=0,"",IF(AND('Location A'!M29&gt;=6,'Location B'!M29=0),UPPER($M$2),IF(AND('Location B'!M29&gt;=6,'Location A'!M29=0),UPPER($M$3),IF(AND('Location A'!M29&gt;0,'Location A'!M29&lt;6,'Location B'!M29=0),LOWER($M$2),IF(AND('Location B'!M29&lt;6,'Location B'!M29&gt;0,'Location A'!M29=0),LOWER($M$3),IF(AND('Location A'!M29+'Location B'!M29&lt;8.5,'Location A'!M29+'Location B'!M29&gt;0),"Both","Error"))))))</f>
        <v/>
      </c>
      <c r="N30" s="156" t="str">
        <f>IF('Location A'!N29+'Location B'!N29=0,"",IF(AND('Location A'!N29&gt;=6,'Location B'!N29=0),UPPER($M$2),IF(AND('Location B'!N29&gt;=6,'Location A'!N29=0),UPPER($M$3),IF(AND('Location A'!N29&gt;0,'Location A'!N29&lt;6,'Location B'!N29=0),LOWER($M$2),IF(AND('Location B'!N29&lt;6,'Location B'!N29&gt;0,'Location A'!N29=0),LOWER($M$3),IF(AND('Location A'!N29+'Location B'!N29&lt;8.5,'Location A'!N29+'Location B'!N29&gt;0),"Both","Error"))))))</f>
        <v/>
      </c>
      <c r="O30" s="151"/>
      <c r="P30" s="302"/>
      <c r="Q30" s="154" t="str">
        <f>IF('Location A'!Q29+'Location B'!Q29=0,"",IF(AND('Location A'!Q29&gt;=6,'Location B'!Q29=0),UPPER($M$2),IF(AND('Location B'!Q29&gt;=6,'Location A'!Q29=0),UPPER($M$3),IF(AND('Location A'!Q29&gt;0,'Location A'!Q29&lt;6,'Location B'!Q29=0),LOWER($M$2),IF(AND('Location B'!Q29&lt;6,'Location B'!Q29&gt;0,'Location A'!Q29=0),LOWER($M$3),IF(AND('Location A'!Q29+'Location B'!Q29&lt;8.5,'Location A'!Q29+'Location B'!Q29&gt;0),"Both","Error"))))))</f>
        <v/>
      </c>
      <c r="R30" s="155" t="str">
        <f>IF('Location A'!R29+'Location B'!R29=0,"",IF(AND('Location A'!R29&gt;=6,'Location B'!R29=0),UPPER($M$2),IF(AND('Location B'!R29&gt;=6,'Location A'!R29=0),UPPER($M$3),IF(AND('Location A'!R29&gt;0,'Location A'!R29&lt;6,'Location B'!R29=0),LOWER($M$2),IF(AND('Location B'!R29&lt;6,'Location B'!R29&gt;0,'Location A'!R29=0),LOWER($M$3),IF(AND('Location A'!R29+'Location B'!R29&lt;8.5,'Location A'!R29+'Location B'!R29&gt;0),"Both","Error"))))))</f>
        <v/>
      </c>
      <c r="S30" s="155" t="str">
        <f>IF('Location A'!S29+'Location B'!S29=0,"",IF(AND('Location A'!S29&gt;=6,'Location B'!S29=0),UPPER($M$2),IF(AND('Location B'!S29&gt;=6,'Location A'!S29=0),UPPER($M$3),IF(AND('Location A'!S29&gt;0,'Location A'!S29&lt;6,'Location B'!S29=0),LOWER($M$2),IF(AND('Location B'!S29&lt;6,'Location B'!S29&gt;0,'Location A'!S29=0),LOWER($M$3),IF(AND('Location A'!S29+'Location B'!S29&lt;8.5,'Location A'!S29+'Location B'!S29&gt;0),"Both","Error"))))))</f>
        <v/>
      </c>
      <c r="T30" s="155" t="str">
        <f>IF('Location A'!T29+'Location B'!T29=0,"",IF(AND('Location A'!T29&gt;=6,'Location B'!T29=0),UPPER($M$2),IF(AND('Location B'!T29&gt;=6,'Location A'!T29=0),UPPER($M$3),IF(AND('Location A'!T29&gt;0,'Location A'!T29&lt;6,'Location B'!T29=0),LOWER($M$2),IF(AND('Location B'!T29&lt;6,'Location B'!T29&gt;0,'Location A'!T29=0),LOWER($M$3),IF(AND('Location A'!T29+'Location B'!T29&lt;8.5,'Location A'!T29+'Location B'!T29&gt;0),"Both","Error"))))))</f>
        <v/>
      </c>
      <c r="U30" s="156" t="str">
        <f>IF('Location A'!U29+'Location B'!U29=0,"",IF(AND('Location A'!U29&gt;=6,'Location B'!U29=0),UPPER($M$2),IF(AND('Location B'!U29&gt;=6,'Location A'!U29=0),UPPER($M$3),IF(AND('Location A'!U29&gt;0,'Location A'!U29&lt;6,'Location B'!U29=0),LOWER($M$2),IF(AND('Location B'!U29&lt;6,'Location B'!U29&gt;0,'Location A'!U29=0),LOWER($M$3),IF(AND('Location A'!U29+'Location B'!U29&lt;8.5,'Location A'!U29+'Location B'!U29&gt;0),"Both","Error"))))))</f>
        <v/>
      </c>
      <c r="V30" s="151"/>
      <c r="W30" s="307"/>
      <c r="X30" s="154" t="str">
        <f>IF('Location A'!X29+'Location B'!X29=0,"",IF(AND('Location A'!X29&gt;=6,'Location B'!X29=0),UPPER($M$2),IF(AND('Location B'!X29&gt;=6,'Location A'!X29=0),UPPER($M$3),IF(AND('Location A'!X29&gt;0,'Location A'!X29&lt;6,'Location B'!X29=0),LOWER($M$2),IF(AND('Location B'!X29&lt;6,'Location B'!X29&gt;0,'Location A'!X29=0),LOWER($M$3),IF(AND('Location A'!X29+'Location B'!X29&lt;8.5,'Location A'!X29+'Location B'!X29&gt;0),"Both","Error"))))))</f>
        <v/>
      </c>
      <c r="Y30" s="155" t="str">
        <f>IF('Location A'!Y29+'Location B'!Y29=0,"",IF(AND('Location A'!Y29&gt;=6,'Location B'!Y29=0),UPPER($M$2),IF(AND('Location B'!Y29&gt;=6,'Location A'!Y29=0),UPPER($M$3),IF(AND('Location A'!Y29&gt;0,'Location A'!Y29&lt;6,'Location B'!Y29=0),LOWER($M$2),IF(AND('Location B'!Y29&lt;6,'Location B'!Y29&gt;0,'Location A'!Y29=0),LOWER($M$3),IF(AND('Location A'!Y29+'Location B'!Y29&lt;8.5,'Location A'!Y29+'Location B'!Y29&gt;0),"Both","Error"))))))</f>
        <v/>
      </c>
      <c r="Z30" s="155" t="str">
        <f>IF('Location A'!Z29+'Location B'!Z29=0,"",IF(AND('Location A'!Z29&gt;=6,'Location B'!Z29=0),UPPER($M$2),IF(AND('Location B'!Z29&gt;=6,'Location A'!Z29=0),UPPER($M$3),IF(AND('Location A'!Z29&gt;0,'Location A'!Z29&lt;6,'Location B'!Z29=0),LOWER($M$2),IF(AND('Location B'!Z29&lt;6,'Location B'!Z29&gt;0,'Location A'!Z29=0),LOWER($M$3),IF(AND('Location A'!Z29+'Location B'!Z29&lt;8.5,'Location A'!Z29+'Location B'!Z29&gt;0),"Both","Error"))))))</f>
        <v/>
      </c>
      <c r="AA30" s="155" t="str">
        <f>IF('Location A'!AA29+'Location B'!AA29=0,"",IF(AND('Location A'!AA29&gt;=6,'Location B'!AA29=0),UPPER($M$2),IF(AND('Location B'!AA29&gt;=6,'Location A'!AA29=0),UPPER($M$3),IF(AND('Location A'!AA29&gt;0,'Location A'!AA29&lt;6,'Location B'!AA29=0),LOWER($M$2),IF(AND('Location B'!AA29&lt;6,'Location B'!AA29&gt;0,'Location A'!AA29=0),LOWER($M$3),IF(AND('Location A'!AA29+'Location B'!AA29&lt;8.5,'Location A'!AA29+'Location B'!AA29&gt;0),"Both","Error"))))))</f>
        <v/>
      </c>
      <c r="AB30" s="156" t="str">
        <f>IF('Location A'!AB29+'Location B'!AB29=0,"",IF(AND('Location A'!AB29&gt;=6,'Location B'!AB29=0),UPPER($M$2),IF(AND('Location B'!AB29&gt;=6,'Location A'!AB29=0),UPPER($M$3),IF(AND('Location A'!AB29&gt;0,'Location A'!AB29&lt;6,'Location B'!AB29=0),LOWER($M$2),IF(AND('Location B'!AB29&lt;6,'Location B'!AB29&gt;0,'Location A'!AB29=0),LOWER($M$3),IF(AND('Location A'!AB29+'Location B'!AB29&lt;8.5,'Location A'!AB29+'Location B'!AB29&gt;0),"Both","Error"))))))</f>
        <v/>
      </c>
      <c r="AC30" s="42"/>
    </row>
    <row r="31" spans="1:61" x14ac:dyDescent="0.25">
      <c r="A31" s="11"/>
      <c r="B31" s="281"/>
      <c r="C31" s="152">
        <f>IF(AND(YEAR(SeptOffSet+9)=BegCalYear,MONTH(SeptOffSet+9)=9),SeptOffSet+9,"")</f>
        <v>46272</v>
      </c>
      <c r="D31" s="177">
        <f>IF(AND(YEAR(SeptOffSet+10)=BegCalYear,MONTH(SeptOffSet+10)=9),SeptOffSet+10,"")</f>
        <v>46273</v>
      </c>
      <c r="E31" s="177">
        <f>IF(AND(YEAR(SeptOffSet+11)=BegCalYear,MONTH(SeptOffSet+11)=9),SeptOffSet+11,"")</f>
        <v>46274</v>
      </c>
      <c r="F31" s="177">
        <f>IF(AND(YEAR(SeptOffSet+12)=BegCalYear,MONTH(SeptOffSet+12)=9),SeptOffSet+12,"")</f>
        <v>46275</v>
      </c>
      <c r="G31" s="178">
        <f>IF(AND(YEAR(SeptOffSet+13)=BegCalYear,MONTH(SeptOffSet+13)=9),SeptOffSet+13,"")</f>
        <v>46276</v>
      </c>
      <c r="H31" s="153"/>
      <c r="I31" s="307"/>
      <c r="J31" s="152">
        <f>IF(AND(YEAR(DecOffSet+9)=BegCalYear,MONTH(DecOffSet+9)=12),DecOffSet+9,"")</f>
        <v>46363</v>
      </c>
      <c r="K31" s="177">
        <f>IF(AND(YEAR(DecOffSet+10)=BegCalYear,MONTH(DecOffSet+10)=12),DecOffSet+10,"")</f>
        <v>46364</v>
      </c>
      <c r="L31" s="177">
        <f>IF(AND(YEAR(DecOffSet+11)=BegCalYear,MONTH(DecOffSet+11)=12),DecOffSet+11,"")</f>
        <v>46365</v>
      </c>
      <c r="M31" s="177">
        <f>IF(AND(YEAR(DecOffSet+12)=BegCalYear,MONTH(DecOffSet+12)=12),DecOffSet+12,"")</f>
        <v>46366</v>
      </c>
      <c r="N31" s="178">
        <f>IF(AND(YEAR(DecOffSet+13)=BegCalYear,MONTH(DecOffSet+13)=12),DecOffSet+13,"")</f>
        <v>46367</v>
      </c>
      <c r="O31" s="151"/>
      <c r="P31" s="302"/>
      <c r="Q31" s="152">
        <f>IF(AND(YEAR(MarOffSet+9)=CalendarYear,MONTH(MarOffSet+9)=3),MarOffSet+9,"")</f>
        <v>46454</v>
      </c>
      <c r="R31" s="177">
        <f>IF(AND(YEAR(MarOffSet+10)=CalendarYear,MONTH(MarOffSet+10)=3),MarOffSet+10,"")</f>
        <v>46455</v>
      </c>
      <c r="S31" s="177">
        <f>IF(AND(YEAR(MarOffSet+11)=CalendarYear,MONTH(MarOffSet+11)=3),MarOffSet+11,"")</f>
        <v>46456</v>
      </c>
      <c r="T31" s="177">
        <f>IF(AND(YEAR(MarOffSet+12)=CalendarYear,MONTH(MarOffSet+12)=3),MarOffSet+12,"")</f>
        <v>46457</v>
      </c>
      <c r="U31" s="178">
        <f>IF(AND(YEAR(MarOffSet+13)=CalendarYear,MONTH(MarOffSet+13)=3),MarOffSet+13,"")</f>
        <v>46458</v>
      </c>
      <c r="V31" s="151"/>
      <c r="W31" s="307"/>
      <c r="X31" s="152">
        <f>IF(AND(YEAR(JuneOffSet+9)=CalendarYear,MONTH(JuneOffSet+9)=6),JuneOffSet+9,"")</f>
        <v>46545</v>
      </c>
      <c r="Y31" s="177">
        <f>IF(AND(YEAR(JuneOffSet+10)=CalendarYear,MONTH(JuneOffSet+10)=6),JuneOffSet+10,"")</f>
        <v>46546</v>
      </c>
      <c r="Z31" s="177">
        <f>IF(AND(YEAR(JuneOffSet+11)=CalendarYear,MONTH(JuneOffSet+11)=6),JuneOffSet+11,"")</f>
        <v>46547</v>
      </c>
      <c r="AA31" s="177">
        <f>IF(AND(YEAR(JuneOffSet+12)=CalendarYear,MONTH(JuneOffSet+12)=6),JuneOffSet+12,"")</f>
        <v>46548</v>
      </c>
      <c r="AB31" s="178">
        <f>IF(AND(YEAR(JuneOffSet+13)=CalendarYear,MONTH(JuneOffSet+13)=6),JuneOffSet+13,"")</f>
        <v>46549</v>
      </c>
      <c r="AC31" s="42"/>
    </row>
    <row r="32" spans="1:61" x14ac:dyDescent="0.25">
      <c r="A32" s="11"/>
      <c r="B32" s="281"/>
      <c r="C32" s="154" t="str">
        <f>IF('Location A'!C31+'Location B'!C31=0,"",IF(AND('Location A'!C31&gt;=6,'Location B'!C31=0),UPPER($M$2),IF(AND('Location B'!C31&gt;=6,'Location A'!C31=0),UPPER($M$3),IF(AND('Location A'!C31&gt;0,'Location A'!C31&lt;6,'Location B'!C31=0),LOWER($M$2),IF(AND('Location B'!C31&lt;6,'Location B'!C31&gt;0,'Location A'!C31=0),LOWER($M$3),IF(AND('Location A'!C31+'Location B'!C31&lt;8.5,'Location A'!C31+'Location B'!C31&gt;0),"Both","Error"))))))</f>
        <v/>
      </c>
      <c r="D32" s="155" t="str">
        <f>IF('Location A'!D31+'Location B'!D31=0,"",IF(AND('Location A'!D31&gt;=6,'Location B'!D31=0),UPPER($M$2),IF(AND('Location B'!D31&gt;=6,'Location A'!D31=0),UPPER($M$3),IF(AND('Location A'!D31&gt;0,'Location A'!D31&lt;6,'Location B'!D31=0),LOWER($M$2),IF(AND('Location B'!D31&lt;6,'Location B'!D31&gt;0,'Location A'!D31=0),LOWER($M$3),IF(AND('Location A'!D31+'Location B'!D31&lt;8.5,'Location A'!D31+'Location B'!D31&gt;0),"Both","Error"))))))</f>
        <v/>
      </c>
      <c r="E32" s="155" t="str">
        <f>IF('Location A'!E31+'Location B'!E31=0,"",IF(AND('Location A'!E31&gt;=6,'Location B'!E31=0),UPPER($M$2),IF(AND('Location B'!E31&gt;=6,'Location A'!E31=0),UPPER($M$3),IF(AND('Location A'!E31&gt;0,'Location A'!E31&lt;6,'Location B'!E31=0),LOWER($M$2),IF(AND('Location B'!E31&lt;6,'Location B'!E31&gt;0,'Location A'!E31=0),LOWER($M$3),IF(AND('Location A'!E31+'Location B'!E31&lt;8.5,'Location A'!E31+'Location B'!E31&gt;0),"Both","Error"))))))</f>
        <v/>
      </c>
      <c r="F32" s="155" t="str">
        <f>IF('Location A'!F31+'Location B'!F31=0,"",IF(AND('Location A'!F31&gt;=6,'Location B'!F31=0),UPPER($M$2),IF(AND('Location B'!F31&gt;=6,'Location A'!F31=0),UPPER($M$3),IF(AND('Location A'!F31&gt;0,'Location A'!F31&lt;6,'Location B'!F31=0),LOWER($M$2),IF(AND('Location B'!F31&lt;6,'Location B'!F31&gt;0,'Location A'!F31=0),LOWER($M$3),IF(AND('Location A'!F31+'Location B'!F31&lt;8.5,'Location A'!F31+'Location B'!F31&gt;0),"Both","Error"))))))</f>
        <v/>
      </c>
      <c r="G32" s="156" t="str">
        <f>IF('Location A'!G31+'Location B'!G31=0,"",IF(AND('Location A'!G31&gt;=6,'Location B'!G31=0),UPPER($M$2),IF(AND('Location B'!G31&gt;=6,'Location A'!G31=0),UPPER($M$3),IF(AND('Location A'!G31&gt;0,'Location A'!G31&lt;6,'Location B'!G31=0),LOWER($M$2),IF(AND('Location B'!G31&lt;6,'Location B'!G31&gt;0,'Location A'!G31=0),LOWER($M$3),IF(AND('Location A'!G31+'Location B'!G31&lt;8.5,'Location A'!G31+'Location B'!G31&gt;0),"Both","Error"))))))</f>
        <v/>
      </c>
      <c r="H32" s="153"/>
      <c r="I32" s="307"/>
      <c r="J32" s="154" t="str">
        <f>IF('Location A'!J31+'Location B'!J31=0,"",IF(AND('Location A'!J31&gt;=6,'Location B'!J31=0),UPPER($M$2),IF(AND('Location B'!J31&gt;=6,'Location A'!J31=0),UPPER($M$3),IF(AND('Location A'!J31&gt;0,'Location A'!J31&lt;6,'Location B'!J31=0),LOWER($M$2),IF(AND('Location B'!J31&lt;6,'Location B'!J31&gt;0,'Location A'!J31=0),LOWER($M$3),IF(AND('Location A'!J31+'Location B'!J31&lt;8.5,'Location A'!J31+'Location B'!J31&gt;0),"Both","Error"))))))</f>
        <v/>
      </c>
      <c r="K32" s="155" t="str">
        <f>IF('Location A'!K31+'Location B'!K31=0,"",IF(AND('Location A'!K31&gt;=6,'Location B'!K31=0),UPPER($M$2),IF(AND('Location B'!K31&gt;=6,'Location A'!K31=0),UPPER($M$3),IF(AND('Location A'!K31&gt;0,'Location A'!K31&lt;6,'Location B'!K31=0),LOWER($M$2),IF(AND('Location B'!K31&lt;6,'Location B'!K31&gt;0,'Location A'!K31=0),LOWER($M$3),IF(AND('Location A'!K31+'Location B'!K31&lt;8.5,'Location A'!K31+'Location B'!K31&gt;0),"Both","Error"))))))</f>
        <v/>
      </c>
      <c r="L32" s="155" t="str">
        <f>IF('Location A'!L31+'Location B'!L31=0,"",IF(AND('Location A'!L31&gt;=6,'Location B'!L31=0),UPPER($M$2),IF(AND('Location B'!L31&gt;=6,'Location A'!L31=0),UPPER($M$3),IF(AND('Location A'!L31&gt;0,'Location A'!L31&lt;6,'Location B'!L31=0),LOWER($M$2),IF(AND('Location B'!L31&lt;6,'Location B'!L31&gt;0,'Location A'!L31=0),LOWER($M$3),IF(AND('Location A'!L31+'Location B'!L31&lt;8.5,'Location A'!L31+'Location B'!L31&gt;0),"Both","Error"))))))</f>
        <v/>
      </c>
      <c r="M32" s="155" t="str">
        <f>IF('Location A'!M31+'Location B'!M31=0,"",IF(AND('Location A'!M31&gt;=6,'Location B'!M31=0),UPPER($M$2),IF(AND('Location B'!M31&gt;=6,'Location A'!M31=0),UPPER($M$3),IF(AND('Location A'!M31&gt;0,'Location A'!M31&lt;6,'Location B'!M31=0),LOWER($M$2),IF(AND('Location B'!M31&lt;6,'Location B'!M31&gt;0,'Location A'!M31=0),LOWER($M$3),IF(AND('Location A'!M31+'Location B'!M31&lt;8.5,'Location A'!M31+'Location B'!M31&gt;0),"Both","Error"))))))</f>
        <v/>
      </c>
      <c r="N32" s="156" t="str">
        <f>IF('Location A'!N31+'Location B'!N31=0,"",IF(AND('Location A'!N31&gt;=6,'Location B'!N31=0),UPPER($M$2),IF(AND('Location B'!N31&gt;=6,'Location A'!N31=0),UPPER($M$3),IF(AND('Location A'!N31&gt;0,'Location A'!N31&lt;6,'Location B'!N31=0),LOWER($M$2),IF(AND('Location B'!N31&lt;6,'Location B'!N31&gt;0,'Location A'!N31=0),LOWER($M$3),IF(AND('Location A'!N31+'Location B'!N31&lt;8.5,'Location A'!N31+'Location B'!N31&gt;0),"Both","Error"))))))</f>
        <v/>
      </c>
      <c r="O32" s="150"/>
      <c r="P32" s="302"/>
      <c r="Q32" s="154" t="str">
        <f>IF('Location A'!Q31+'Location B'!Q31=0,"",IF(AND('Location A'!Q31&gt;=6,'Location B'!Q31=0),UPPER($M$2),IF(AND('Location B'!Q31&gt;=6,'Location A'!Q31=0),UPPER($M$3),IF(AND('Location A'!Q31&gt;0,'Location A'!Q31&lt;6,'Location B'!Q31=0),LOWER($M$2),IF(AND('Location B'!Q31&lt;6,'Location B'!Q31&gt;0,'Location A'!Q31=0),LOWER($M$3),IF(AND('Location A'!Q31+'Location B'!Q31&lt;8.5,'Location A'!Q31+'Location B'!Q31&gt;0),"Both","Error"))))))</f>
        <v/>
      </c>
      <c r="R32" s="155" t="str">
        <f>IF('Location A'!R31+'Location B'!R31=0,"",IF(AND('Location A'!R31&gt;=6,'Location B'!R31=0),UPPER($M$2),IF(AND('Location B'!R31&gt;=6,'Location A'!R31=0),UPPER($M$3),IF(AND('Location A'!R31&gt;0,'Location A'!R31&lt;6,'Location B'!R31=0),LOWER($M$2),IF(AND('Location B'!R31&lt;6,'Location B'!R31&gt;0,'Location A'!R31=0),LOWER($M$3),IF(AND('Location A'!R31+'Location B'!R31&lt;8.5,'Location A'!R31+'Location B'!R31&gt;0),"Both","Error"))))))</f>
        <v/>
      </c>
      <c r="S32" s="155" t="str">
        <f>IF('Location A'!S31+'Location B'!S31=0,"",IF(AND('Location A'!S31&gt;=6,'Location B'!S31=0),UPPER($M$2),IF(AND('Location B'!S31&gt;=6,'Location A'!S31=0),UPPER($M$3),IF(AND('Location A'!S31&gt;0,'Location A'!S31&lt;6,'Location B'!S31=0),LOWER($M$2),IF(AND('Location B'!S31&lt;6,'Location B'!S31&gt;0,'Location A'!S31=0),LOWER($M$3),IF(AND('Location A'!S31+'Location B'!S31&lt;8.5,'Location A'!S31+'Location B'!S31&gt;0),"Both","Error"))))))</f>
        <v/>
      </c>
      <c r="T32" s="155" t="str">
        <f>IF('Location A'!T31+'Location B'!T31=0,"",IF(AND('Location A'!T31&gt;=6,'Location B'!T31=0),UPPER($M$2),IF(AND('Location B'!T31&gt;=6,'Location A'!T31=0),UPPER($M$3),IF(AND('Location A'!T31&gt;0,'Location A'!T31&lt;6,'Location B'!T31=0),LOWER($M$2),IF(AND('Location B'!T31&lt;6,'Location B'!T31&gt;0,'Location A'!T31=0),LOWER($M$3),IF(AND('Location A'!T31+'Location B'!T31&lt;8.5,'Location A'!T31+'Location B'!T31&gt;0),"Both","Error"))))))</f>
        <v/>
      </c>
      <c r="U32" s="156" t="str">
        <f>IF('Location A'!U31+'Location B'!U31=0,"",IF(AND('Location A'!U31&gt;=6,'Location B'!U31=0),UPPER($M$2),IF(AND('Location B'!U31&gt;=6,'Location A'!U31=0),UPPER($M$3),IF(AND('Location A'!U31&gt;0,'Location A'!U31&lt;6,'Location B'!U31=0),LOWER($M$2),IF(AND('Location B'!U31&lt;6,'Location B'!U31&gt;0,'Location A'!U31=0),LOWER($M$3),IF(AND('Location A'!U31+'Location B'!U31&lt;8.5,'Location A'!U31+'Location B'!U31&gt;0),"Both","Error"))))))</f>
        <v/>
      </c>
      <c r="V32" s="151"/>
      <c r="W32" s="307"/>
      <c r="X32" s="154" t="str">
        <f>IF('Location A'!X31+'Location B'!X31=0,"",IF(AND('Location A'!X31&gt;=6,'Location B'!X31=0),UPPER($M$2),IF(AND('Location B'!X31&gt;=6,'Location A'!X31=0),UPPER($M$3),IF(AND('Location A'!X31&gt;0,'Location A'!X31&lt;6,'Location B'!X31=0),LOWER($M$2),IF(AND('Location B'!X31&lt;6,'Location B'!X31&gt;0,'Location A'!X31=0),LOWER($M$3),IF(AND('Location A'!X31+'Location B'!X31&lt;8.5,'Location A'!X31+'Location B'!X31&gt;0),"Both","Error"))))))</f>
        <v/>
      </c>
      <c r="Y32" s="155" t="str">
        <f>IF('Location A'!Y31+'Location B'!Y31=0,"",IF(AND('Location A'!Y31&gt;=6,'Location B'!Y31=0),UPPER($M$2),IF(AND('Location B'!Y31&gt;=6,'Location A'!Y31=0),UPPER($M$3),IF(AND('Location A'!Y31&gt;0,'Location A'!Y31&lt;6,'Location B'!Y31=0),LOWER($M$2),IF(AND('Location B'!Y31&lt;6,'Location B'!Y31&gt;0,'Location A'!Y31=0),LOWER($M$3),IF(AND('Location A'!Y31+'Location B'!Y31&lt;8.5,'Location A'!Y31+'Location B'!Y31&gt;0),"Both","Error"))))))</f>
        <v/>
      </c>
      <c r="Z32" s="155" t="str">
        <f>IF('Location A'!Z31+'Location B'!Z31=0,"",IF(AND('Location A'!Z31&gt;=6,'Location B'!Z31=0),UPPER($M$2),IF(AND('Location B'!Z31&gt;=6,'Location A'!Z31=0),UPPER($M$3),IF(AND('Location A'!Z31&gt;0,'Location A'!Z31&lt;6,'Location B'!Z31=0),LOWER($M$2),IF(AND('Location B'!Z31&lt;6,'Location B'!Z31&gt;0,'Location A'!Z31=0),LOWER($M$3),IF(AND('Location A'!Z31+'Location B'!Z31&lt;8.5,'Location A'!Z31+'Location B'!Z31&gt;0),"Both","Error"))))))</f>
        <v/>
      </c>
      <c r="AA32" s="155" t="str">
        <f>IF('Location A'!AA31+'Location B'!AA31=0,"",IF(AND('Location A'!AA31&gt;=6,'Location B'!AA31=0),UPPER($M$2),IF(AND('Location B'!AA31&gt;=6,'Location A'!AA31=0),UPPER($M$3),IF(AND('Location A'!AA31&gt;0,'Location A'!AA31&lt;6,'Location B'!AA31=0),LOWER($M$2),IF(AND('Location B'!AA31&lt;6,'Location B'!AA31&gt;0,'Location A'!AA31=0),LOWER($M$3),IF(AND('Location A'!AA31+'Location B'!AA31&lt;8.5,'Location A'!AA31+'Location B'!AA31&gt;0),"Both","Error"))))))</f>
        <v/>
      </c>
      <c r="AB32" s="156" t="str">
        <f>IF('Location A'!AB31+'Location B'!AB31=0,"",IF(AND('Location A'!AB31&gt;=6,'Location B'!AB31=0),UPPER($M$2),IF(AND('Location B'!AB31&gt;=6,'Location A'!AB31=0),UPPER($M$3),IF(AND('Location A'!AB31&gt;0,'Location A'!AB31&lt;6,'Location B'!AB31=0),LOWER($M$2),IF(AND('Location B'!AB31&lt;6,'Location B'!AB31&gt;0,'Location A'!AB31=0),LOWER($M$3),IF(AND('Location A'!AB31+'Location B'!AB31&lt;8.5,'Location A'!AB31+'Location B'!AB31&gt;0),"Both","Error"))))))</f>
        <v/>
      </c>
      <c r="AC32" s="42"/>
    </row>
    <row r="33" spans="1:32" x14ac:dyDescent="0.25">
      <c r="A33" s="11"/>
      <c r="B33" s="281"/>
      <c r="C33" s="152">
        <f>IF(AND(YEAR(SeptOffSet+16)=BegCalYear,MONTH(SeptOffSet+16)=9),SeptOffSet+16,"")</f>
        <v>46279</v>
      </c>
      <c r="D33" s="177">
        <f>IF(AND(YEAR(SeptOffSet+17)=BegCalYear,MONTH(SeptOffSet+17)=9),SeptOffSet+17,"")</f>
        <v>46280</v>
      </c>
      <c r="E33" s="177">
        <f>IF(AND(YEAR(SeptOffSet+18)=BegCalYear,MONTH(SeptOffSet+18)=9),SeptOffSet+18,"")</f>
        <v>46281</v>
      </c>
      <c r="F33" s="177">
        <f>IF(AND(YEAR(SeptOffSet+19)=BegCalYear,MONTH(SeptOffSet+19)=9),SeptOffSet+19,"")</f>
        <v>46282</v>
      </c>
      <c r="G33" s="178">
        <f>IF(AND(YEAR(SeptOffSet+20)=BegCalYear,MONTH(SeptOffSet+20)=9),SeptOffSet+20,"")</f>
        <v>46283</v>
      </c>
      <c r="H33" s="153"/>
      <c r="I33" s="307"/>
      <c r="J33" s="152">
        <f>IF(AND(YEAR(DecOffSet+16)=BegCalYear,MONTH(DecOffSet+16)=12),DecOffSet+16,"")</f>
        <v>46370</v>
      </c>
      <c r="K33" s="177">
        <f>IF(AND(YEAR(DecOffSet+17)=BegCalYear,MONTH(DecOffSet+17)=12),DecOffSet+17,"")</f>
        <v>46371</v>
      </c>
      <c r="L33" s="177">
        <f>IF(AND(YEAR(DecOffSet+18)=BegCalYear,MONTH(DecOffSet+18)=12),DecOffSet+18,"")</f>
        <v>46372</v>
      </c>
      <c r="M33" s="177">
        <f>IF(AND(YEAR(DecOffSet+19)=BegCalYear,MONTH(DecOffSet+19)=12),DecOffSet+19,"")</f>
        <v>46373</v>
      </c>
      <c r="N33" s="178">
        <f>IF(AND(YEAR(DecOffSet+20)=BegCalYear,MONTH(DecOffSet+20)=12),DecOffSet+20,"")</f>
        <v>46374</v>
      </c>
      <c r="O33" s="151"/>
      <c r="P33" s="302"/>
      <c r="Q33" s="152">
        <f>IF(AND(YEAR(MarOffSet+16)=CalendarYear,MONTH(MarOffSet+16)=3),MarOffSet+16,"")</f>
        <v>46461</v>
      </c>
      <c r="R33" s="177">
        <f>IF(AND(YEAR(MarOffSet+17)=CalendarYear,MONTH(MarOffSet+17)=3),MarOffSet+17,"")</f>
        <v>46462</v>
      </c>
      <c r="S33" s="177">
        <f>IF(AND(YEAR(MarOffSet+18)=CalendarYear,MONTH(MarOffSet+18)=3),MarOffSet+18,"")</f>
        <v>46463</v>
      </c>
      <c r="T33" s="177">
        <f>IF(AND(YEAR(MarOffSet+19)=CalendarYear,MONTH(MarOffSet+19)=3),MarOffSet+19,"")</f>
        <v>46464</v>
      </c>
      <c r="U33" s="178">
        <f>IF(AND(YEAR(MarOffSet+20)=CalendarYear,MONTH(MarOffSet+20)=3),MarOffSet+20,"")</f>
        <v>46465</v>
      </c>
      <c r="V33" s="151"/>
      <c r="W33" s="307"/>
      <c r="X33" s="152">
        <f>IF(AND(YEAR(JuneOffSet+16)=CalendarYear,MONTH(JuneOffSet+16)=6),JuneOffSet+16,"")</f>
        <v>46552</v>
      </c>
      <c r="Y33" s="177">
        <f>IF(AND(YEAR(JuneOffSet+17)=CalendarYear,MONTH(JuneOffSet+17)=6),JuneOffSet+17,"")</f>
        <v>46553</v>
      </c>
      <c r="Z33" s="177">
        <f>IF(AND(YEAR(JuneOffSet+18)=CalendarYear,MONTH(JuneOffSet+18)=6),JuneOffSet+18,"")</f>
        <v>46554</v>
      </c>
      <c r="AA33" s="177">
        <f>IF(AND(YEAR(JuneOffSet+19)=CalendarYear,MONTH(JuneOffSet+19)=6),JuneOffSet+19,"")</f>
        <v>46555</v>
      </c>
      <c r="AB33" s="178">
        <f>IF(AND(YEAR(JuneOffSet+20)=CalendarYear,MONTH(JuneOffSet+20)=6),JuneOffSet+20,"")</f>
        <v>46556</v>
      </c>
      <c r="AC33" s="42"/>
    </row>
    <row r="34" spans="1:32" ht="15" customHeight="1" x14ac:dyDescent="0.25">
      <c r="A34" s="11"/>
      <c r="B34" s="281"/>
      <c r="C34" s="154" t="str">
        <f>IF('Location A'!C33+'Location B'!C33=0,"",IF(AND('Location A'!C33&gt;=6,'Location B'!C33=0),UPPER($M$2),IF(AND('Location B'!C33&gt;=6,'Location A'!C33=0),UPPER($M$3),IF(AND('Location A'!C33&gt;0,'Location A'!C33&lt;6,'Location B'!C33=0),LOWER($M$2),IF(AND('Location B'!C33&lt;6,'Location B'!C33&gt;0,'Location A'!C33=0),LOWER($M$3),IF(AND('Location A'!C33+'Location B'!C33&lt;8.5,'Location A'!C33+'Location B'!C33&gt;0),"Both","Error"))))))</f>
        <v/>
      </c>
      <c r="D34" s="155" t="str">
        <f>IF('Location A'!D33+'Location B'!D33=0,"",IF(AND('Location A'!D33&gt;=6,'Location B'!D33=0),UPPER($M$2),IF(AND('Location B'!D33&gt;=6,'Location A'!D33=0),UPPER($M$3),IF(AND('Location A'!D33&gt;0,'Location A'!D33&lt;6,'Location B'!D33=0),LOWER($M$2),IF(AND('Location B'!D33&lt;6,'Location B'!D33&gt;0,'Location A'!D33=0),LOWER($M$3),IF(AND('Location A'!D33+'Location B'!D33&lt;8.5,'Location A'!D33+'Location B'!D33&gt;0),"Both","Error"))))))</f>
        <v/>
      </c>
      <c r="E34" s="155" t="str">
        <f>IF('Location A'!E33+'Location B'!E33=0,"",IF(AND('Location A'!E33&gt;=6,'Location B'!E33=0),UPPER($M$2),IF(AND('Location B'!E33&gt;=6,'Location A'!E33=0),UPPER($M$3),IF(AND('Location A'!E33&gt;0,'Location A'!E33&lt;6,'Location B'!E33=0),LOWER($M$2),IF(AND('Location B'!E33&lt;6,'Location B'!E33&gt;0,'Location A'!E33=0),LOWER($M$3),IF(AND('Location A'!E33+'Location B'!E33&lt;8.5,'Location A'!E33+'Location B'!E33&gt;0),"Both","Error"))))))</f>
        <v/>
      </c>
      <c r="F34" s="155" t="str">
        <f>IF('Location A'!F33+'Location B'!F33=0,"",IF(AND('Location A'!F33&gt;=6,'Location B'!F33=0),UPPER($M$2),IF(AND('Location B'!F33&gt;=6,'Location A'!F33=0),UPPER($M$3),IF(AND('Location A'!F33&gt;0,'Location A'!F33&lt;6,'Location B'!F33=0),LOWER($M$2),IF(AND('Location B'!F33&lt;6,'Location B'!F33&gt;0,'Location A'!F33=0),LOWER($M$3),IF(AND('Location A'!F33+'Location B'!F33&lt;8.5,'Location A'!F33+'Location B'!F33&gt;0),"Both","Error"))))))</f>
        <v/>
      </c>
      <c r="G34" s="156" t="str">
        <f>IF('Location A'!G33+'Location B'!G33=0,"",IF(AND('Location A'!G33&gt;=6,'Location B'!G33=0),UPPER($M$2),IF(AND('Location B'!G33&gt;=6,'Location A'!G33=0),UPPER($M$3),IF(AND('Location A'!G33&gt;0,'Location A'!G33&lt;6,'Location B'!G33=0),LOWER($M$2),IF(AND('Location B'!G33&lt;6,'Location B'!G33&gt;0,'Location A'!G33=0),LOWER($M$3),IF(AND('Location A'!G33+'Location B'!G33&lt;8.5,'Location A'!G33+'Location B'!G33&gt;0),"Both","Error"))))))</f>
        <v/>
      </c>
      <c r="H34" s="151"/>
      <c r="I34" s="307"/>
      <c r="J34" s="154" t="str">
        <f>IF('Location A'!J33+'Location B'!J33=0,"",IF(AND('Location A'!J33&gt;=6,'Location B'!J33=0),UPPER($M$2),IF(AND('Location B'!J33&gt;=6,'Location A'!J33=0),UPPER($M$3),IF(AND('Location A'!J33&gt;0,'Location A'!J33&lt;6,'Location B'!J33=0),LOWER($M$2),IF(AND('Location B'!J33&lt;6,'Location B'!J33&gt;0,'Location A'!J33=0),LOWER($M$3),IF(AND('Location A'!J33+'Location B'!J33&lt;8.5,'Location A'!J33+'Location B'!J33&gt;0),"Both","Error"))))))</f>
        <v/>
      </c>
      <c r="K34" s="155" t="str">
        <f>IF('Location A'!K33+'Location B'!K33=0,"",IF(AND('Location A'!K33&gt;=6,'Location B'!K33=0),UPPER($M$2),IF(AND('Location B'!K33&gt;=6,'Location A'!K33=0),UPPER($M$3),IF(AND('Location A'!K33&gt;0,'Location A'!K33&lt;6,'Location B'!K33=0),LOWER($M$2),IF(AND('Location B'!K33&lt;6,'Location B'!K33&gt;0,'Location A'!K33=0),LOWER($M$3),IF(AND('Location A'!K33+'Location B'!K33&lt;8.5,'Location A'!K33+'Location B'!K33&gt;0),"Both","Error"))))))</f>
        <v/>
      </c>
      <c r="L34" s="155" t="str">
        <f>IF('Location A'!L33+'Location B'!L33=0,"",IF(AND('Location A'!L33&gt;=6,'Location B'!L33=0),UPPER($M$2),IF(AND('Location B'!L33&gt;=6,'Location A'!L33=0),UPPER($M$3),IF(AND('Location A'!L33&gt;0,'Location A'!L33&lt;6,'Location B'!L33=0),LOWER($M$2),IF(AND('Location B'!L33&lt;6,'Location B'!L33&gt;0,'Location A'!L33=0),LOWER($M$3),IF(AND('Location A'!L33+'Location B'!L33&lt;8.5,'Location A'!L33+'Location B'!L33&gt;0),"Both","Error"))))))</f>
        <v/>
      </c>
      <c r="M34" s="155" t="str">
        <f>IF('Location A'!M33+'Location B'!M33=0,"",IF(AND('Location A'!M33&gt;=6,'Location B'!M33=0),UPPER($M$2),IF(AND('Location B'!M33&gt;=6,'Location A'!M33=0),UPPER($M$3),IF(AND('Location A'!M33&gt;0,'Location A'!M33&lt;6,'Location B'!M33=0),LOWER($M$2),IF(AND('Location B'!M33&lt;6,'Location B'!M33&gt;0,'Location A'!M33=0),LOWER($M$3),IF(AND('Location A'!M33+'Location B'!M33&lt;8.5,'Location A'!M33+'Location B'!M33&gt;0),"Both","Error"))))))</f>
        <v/>
      </c>
      <c r="N34" s="156" t="str">
        <f>IF('Location A'!N33+'Location B'!N33=0,"",IF(AND('Location A'!N33&gt;=6,'Location B'!N33=0),UPPER($M$2),IF(AND('Location B'!N33&gt;=6,'Location A'!N33=0),UPPER($M$3),IF(AND('Location A'!N33&gt;0,'Location A'!N33&lt;6,'Location B'!N33=0),LOWER($M$2),IF(AND('Location B'!N33&lt;6,'Location B'!N33&gt;0,'Location A'!N33=0),LOWER($M$3),IF(AND('Location A'!N33+'Location B'!N33&lt;8.5,'Location A'!N33+'Location B'!N33&gt;0),"Both","Error"))))))</f>
        <v/>
      </c>
      <c r="O34" s="151"/>
      <c r="P34" s="302"/>
      <c r="Q34" s="154" t="str">
        <f>IF('Location A'!Q33+'Location B'!Q33=0,"",IF(AND('Location A'!Q33&gt;=6,'Location B'!Q33=0),UPPER($M$2),IF(AND('Location B'!Q33&gt;=6,'Location A'!Q33=0),UPPER($M$3),IF(AND('Location A'!Q33&gt;0,'Location A'!Q33&lt;6,'Location B'!Q33=0),LOWER($M$2),IF(AND('Location B'!Q33&lt;6,'Location B'!Q33&gt;0,'Location A'!Q33=0),LOWER($M$3),IF(AND('Location A'!Q33+'Location B'!Q33&lt;8.5,'Location A'!Q33+'Location B'!Q33&gt;0),"Both","Error"))))))</f>
        <v/>
      </c>
      <c r="R34" s="155" t="str">
        <f>IF('Location A'!R33+'Location B'!R33=0,"",IF(AND('Location A'!R33&gt;=6,'Location B'!R33=0),UPPER($M$2),IF(AND('Location B'!R33&gt;=6,'Location A'!R33=0),UPPER($M$3),IF(AND('Location A'!R33&gt;0,'Location A'!R33&lt;6,'Location B'!R33=0),LOWER($M$2),IF(AND('Location B'!R33&lt;6,'Location B'!R33&gt;0,'Location A'!R33=0),LOWER($M$3),IF(AND('Location A'!R33+'Location B'!R33&lt;8.5,'Location A'!R33+'Location B'!R33&gt;0),"Both","Error"))))))</f>
        <v/>
      </c>
      <c r="S34" s="155" t="str">
        <f>IF('Location A'!S33+'Location B'!S33=0,"",IF(AND('Location A'!S33&gt;=6,'Location B'!S33=0),UPPER($M$2),IF(AND('Location B'!S33&gt;=6,'Location A'!S33=0),UPPER($M$3),IF(AND('Location A'!S33&gt;0,'Location A'!S33&lt;6,'Location B'!S33=0),LOWER($M$2),IF(AND('Location B'!S33&lt;6,'Location B'!S33&gt;0,'Location A'!S33=0),LOWER($M$3),IF(AND('Location A'!S33+'Location B'!S33&lt;8.5,'Location A'!S33+'Location B'!S33&gt;0),"Both","Error"))))))</f>
        <v/>
      </c>
      <c r="T34" s="155" t="str">
        <f>IF('Location A'!T33+'Location B'!T33=0,"",IF(AND('Location A'!T33&gt;=6,'Location B'!T33=0),UPPER($M$2),IF(AND('Location B'!T33&gt;=6,'Location A'!T33=0),UPPER($M$3),IF(AND('Location A'!T33&gt;0,'Location A'!T33&lt;6,'Location B'!T33=0),LOWER($M$2),IF(AND('Location B'!T33&lt;6,'Location B'!T33&gt;0,'Location A'!T33=0),LOWER($M$3),IF(AND('Location A'!T33+'Location B'!T33&lt;8.5,'Location A'!T33+'Location B'!T33&gt;0),"Both","Error"))))))</f>
        <v/>
      </c>
      <c r="U34" s="156" t="str">
        <f>IF('Location A'!U33+'Location B'!U33=0,"",IF(AND('Location A'!U33&gt;=6,'Location B'!U33=0),UPPER($M$2),IF(AND('Location B'!U33&gt;=6,'Location A'!U33=0),UPPER($M$3),IF(AND('Location A'!U33&gt;0,'Location A'!U33&lt;6,'Location B'!U33=0),LOWER($M$2),IF(AND('Location B'!U33&lt;6,'Location B'!U33&gt;0,'Location A'!U33=0),LOWER($M$3),IF(AND('Location A'!U33+'Location B'!U33&lt;8.5,'Location A'!U33+'Location B'!U33&gt;0),"Both","Error"))))))</f>
        <v/>
      </c>
      <c r="V34" s="157"/>
      <c r="W34" s="307"/>
      <c r="X34" s="154" t="str">
        <f>IF('Location A'!X33+'Location B'!X33=0,"",IF(AND('Location A'!X33&gt;=6,'Location B'!X33=0),UPPER($M$2),IF(AND('Location B'!X33&gt;=6,'Location A'!X33=0),UPPER($M$3),IF(AND('Location A'!X33&gt;0,'Location A'!X33&lt;6,'Location B'!X33=0),LOWER($M$2),IF(AND('Location B'!X33&lt;6,'Location B'!X33&gt;0,'Location A'!X33=0),LOWER($M$3),IF(AND('Location A'!X33+'Location B'!X33&lt;8.5,'Location A'!X33+'Location B'!X33&gt;0),"Both","Error"))))))</f>
        <v/>
      </c>
      <c r="Y34" s="155" t="str">
        <f>IF('Location A'!Y33+'Location B'!Y33=0,"",IF(AND('Location A'!Y33&gt;=6,'Location B'!Y33=0),UPPER($M$2),IF(AND('Location B'!Y33&gt;=6,'Location A'!Y33=0),UPPER($M$3),IF(AND('Location A'!Y33&gt;0,'Location A'!Y33&lt;6,'Location B'!Y33=0),LOWER($M$2),IF(AND('Location B'!Y33&lt;6,'Location B'!Y33&gt;0,'Location A'!Y33=0),LOWER($M$3),IF(AND('Location A'!Y33+'Location B'!Y33&lt;8.5,'Location A'!Y33+'Location B'!Y33&gt;0),"Both","Error"))))))</f>
        <v/>
      </c>
      <c r="Z34" s="155" t="str">
        <f>IF('Location A'!Z33+'Location B'!Z33=0,"",IF(AND('Location A'!Z33&gt;=6,'Location B'!Z33=0),UPPER($M$2),IF(AND('Location B'!Z33&gt;=6,'Location A'!Z33=0),UPPER($M$3),IF(AND('Location A'!Z33&gt;0,'Location A'!Z33&lt;6,'Location B'!Z33=0),LOWER($M$2),IF(AND('Location B'!Z33&lt;6,'Location B'!Z33&gt;0,'Location A'!Z33=0),LOWER($M$3),IF(AND('Location A'!Z33+'Location B'!Z33&lt;8.5,'Location A'!Z33+'Location B'!Z33&gt;0),"Both","Error"))))))</f>
        <v/>
      </c>
      <c r="AA34" s="155" t="str">
        <f>IF('Location A'!AA33+'Location B'!AA33=0,"",IF(AND('Location A'!AA33&gt;=6,'Location B'!AA33=0),UPPER($M$2),IF(AND('Location B'!AA33&gt;=6,'Location A'!AA33=0),UPPER($M$3),IF(AND('Location A'!AA33&gt;0,'Location A'!AA33&lt;6,'Location B'!AA33=0),LOWER($M$2),IF(AND('Location B'!AA33&lt;6,'Location B'!AA33&gt;0,'Location A'!AA33=0),LOWER($M$3),IF(AND('Location A'!AA33+'Location B'!AA33&lt;8.5,'Location A'!AA33+'Location B'!AA33&gt;0),"Both","Error"))))))</f>
        <v/>
      </c>
      <c r="AB34" s="156" t="str">
        <f>IF('Location A'!AB33+'Location B'!AB33=0,"",IF(AND('Location A'!AB33&gt;=6,'Location B'!AB33=0),UPPER($M$2),IF(AND('Location B'!AB33&gt;=6,'Location A'!AB33=0),UPPER($M$3),IF(AND('Location A'!AB33&gt;0,'Location A'!AB33&lt;6,'Location B'!AB33=0),LOWER($M$2),IF(AND('Location B'!AB33&lt;6,'Location B'!AB33&gt;0,'Location A'!AB33=0),LOWER($M$3),IF(AND('Location A'!AB33+'Location B'!AB33&lt;8.5,'Location A'!AB33+'Location B'!AB33&gt;0),"Both","Error"))))))</f>
        <v/>
      </c>
      <c r="AC34" s="42"/>
    </row>
    <row r="35" spans="1:32" x14ac:dyDescent="0.25">
      <c r="A35" s="11"/>
      <c r="B35" s="281"/>
      <c r="C35" s="152">
        <f>IF(AND(YEAR(SeptOffSet+23)=BegCalYear,MONTH(SeptOffSet+23)=9),SeptOffSet+23,"")</f>
        <v>46286</v>
      </c>
      <c r="D35" s="177">
        <f>IF(AND(YEAR(SeptOffSet+24)=BegCalYear,MONTH(SeptOffSet+24)=9),SeptOffSet+24,"")</f>
        <v>46287</v>
      </c>
      <c r="E35" s="177">
        <f>IF(AND(YEAR(SeptOffSet+25)=BegCalYear,MONTH(SeptOffSet+25)=9),SeptOffSet+25,"")</f>
        <v>46288</v>
      </c>
      <c r="F35" s="177">
        <f>IF(AND(YEAR(SeptOffSet+26)=BegCalYear,MONTH(SeptOffSet+26)=9),SeptOffSet+26,"")</f>
        <v>46289</v>
      </c>
      <c r="G35" s="178">
        <f>IF(AND(YEAR(SeptOffSet+27)=BegCalYear,MONTH(SeptOffSet+27)=9),SeptOffSet+27,"")</f>
        <v>46290</v>
      </c>
      <c r="H35" s="151"/>
      <c r="I35" s="307"/>
      <c r="J35" s="152">
        <f>IF(AND(YEAR(DecOffSet+23)=BegCalYear,MONTH(DecOffSet+23)=12),DecOffSet+23,"")</f>
        <v>46377</v>
      </c>
      <c r="K35" s="177">
        <f>IF(AND(YEAR(DecOffSet+24)=BegCalYear,MONTH(DecOffSet+24)=12),DecOffSet+24,"")</f>
        <v>46378</v>
      </c>
      <c r="L35" s="177">
        <f>IF(AND(YEAR(DecOffSet+25)=BegCalYear,MONTH(DecOffSet+25)=12),DecOffSet+25,"")</f>
        <v>46379</v>
      </c>
      <c r="M35" s="177">
        <f>IF(AND(YEAR(DecOffSet+26)=BegCalYear,MONTH(DecOffSet+26)=12),DecOffSet+26,"")</f>
        <v>46380</v>
      </c>
      <c r="N35" s="178">
        <f>IF(AND(YEAR(DecOffSet+27)=BegCalYear,MONTH(DecOffSet+27)=12),DecOffSet+27,"")</f>
        <v>46381</v>
      </c>
      <c r="O35" s="151"/>
      <c r="P35" s="302"/>
      <c r="Q35" s="152">
        <f>IF(AND(YEAR(MarOffSet+23)=CalendarYear,MONTH(MarOffSet+23)=3),MarOffSet+23,"")</f>
        <v>46468</v>
      </c>
      <c r="R35" s="177">
        <f>IF(AND(YEAR(MarOffSet+24)=CalendarYear,MONTH(MarOffSet+24)=3),MarOffSet+24,"")</f>
        <v>46469</v>
      </c>
      <c r="S35" s="177">
        <f>IF(AND(YEAR(MarOffSet+25)=CalendarYear,MONTH(MarOffSet+25)=3),MarOffSet+25,"")</f>
        <v>46470</v>
      </c>
      <c r="T35" s="177">
        <f>IF(AND(YEAR(MarOffSet+26)=CalendarYear,MONTH(MarOffSet+26)=3),MarOffSet+26,"")</f>
        <v>46471</v>
      </c>
      <c r="U35" s="178">
        <f>IF(AND(YEAR(MarOffSet+27)=CalendarYear,MONTH(MarOffSet+27)=3),MarOffSet+27,"")</f>
        <v>46472</v>
      </c>
      <c r="V35" s="151"/>
      <c r="W35" s="307"/>
      <c r="X35" s="152">
        <f>IF(AND(YEAR(JuneOffSet+23)=CalendarYear,MONTH(JuneOffSet+23)=6),JuneOffSet+23,"")</f>
        <v>46559</v>
      </c>
      <c r="Y35" s="177">
        <f>IF(AND(YEAR(JuneOffSet+24)=CalendarYear,MONTH(JuneOffSet+24)=6),JuneOffSet+24,"")</f>
        <v>46560</v>
      </c>
      <c r="Z35" s="177">
        <f>IF(AND(YEAR(JuneOffSet+25)=CalendarYear,MONTH(JuneOffSet+25)=6),JuneOffSet+25,"")</f>
        <v>46561</v>
      </c>
      <c r="AA35" s="177">
        <f>IF(AND(YEAR(JuneOffSet+26)=CalendarYear,MONTH(JuneOffSet+26)=6),JuneOffSet+26,"")</f>
        <v>46562</v>
      </c>
      <c r="AB35" s="178">
        <f>IF(AND(YEAR(JuneOffSet+27)=CalendarYear,MONTH(JuneOffSet+27)=6),JuneOffSet+27,"")</f>
        <v>46563</v>
      </c>
      <c r="AC35" s="24"/>
    </row>
    <row r="36" spans="1:32" ht="16.5" customHeight="1" x14ac:dyDescent="0.25">
      <c r="A36" s="11"/>
      <c r="B36" s="281"/>
      <c r="C36" s="154" t="str">
        <f>IF('Location A'!C35+'Location B'!C35=0,"",IF(AND('Location A'!C35&gt;=6,'Location B'!C35=0),UPPER($M$2),IF(AND('Location B'!C35&gt;=6,'Location A'!C35=0),UPPER($M$3),IF(AND('Location A'!C35&gt;0,'Location A'!C35&lt;6,'Location B'!C35=0),LOWER($M$2),IF(AND('Location B'!C35&lt;6,'Location B'!C35&gt;0,'Location A'!C35=0),LOWER($M$3),IF(AND('Location A'!C35+'Location B'!C35&lt;8.5,'Location A'!C35+'Location B'!C35&gt;0),"Both","Error"))))))</f>
        <v/>
      </c>
      <c r="D36" s="155" t="str">
        <f>IF('Location A'!D35+'Location B'!D35=0,"",IF(AND('Location A'!D35&gt;=6,'Location B'!D35=0),UPPER($M$2),IF(AND('Location B'!D35&gt;=6,'Location A'!D35=0),UPPER($M$3),IF(AND('Location A'!D35&gt;0,'Location A'!D35&lt;6,'Location B'!D35=0),LOWER($M$2),IF(AND('Location B'!D35&lt;6,'Location B'!D35&gt;0,'Location A'!D35=0),LOWER($M$3),IF(AND('Location A'!D35+'Location B'!D35&lt;8.5,'Location A'!D35+'Location B'!D35&gt;0),"Both","Error"))))))</f>
        <v/>
      </c>
      <c r="E36" s="155" t="str">
        <f>IF('Location A'!E35+'Location B'!E35=0,"",IF(AND('Location A'!E35&gt;=6,'Location B'!E35=0),UPPER($M$2),IF(AND('Location B'!E35&gt;=6,'Location A'!E35=0),UPPER($M$3),IF(AND('Location A'!E35&gt;0,'Location A'!E35&lt;6,'Location B'!E35=0),LOWER($M$2),IF(AND('Location B'!E35&lt;6,'Location B'!E35&gt;0,'Location A'!E35=0),LOWER($M$3),IF(AND('Location A'!E35+'Location B'!E35&lt;8.5,'Location A'!E35+'Location B'!E35&gt;0),"Both","Error"))))))</f>
        <v/>
      </c>
      <c r="F36" s="155" t="str">
        <f>IF('Location A'!F35+'Location B'!F35=0,"",IF(AND('Location A'!F35&gt;=6,'Location B'!F35=0),UPPER($M$2),IF(AND('Location B'!F35&gt;=6,'Location A'!F35=0),UPPER($M$3),IF(AND('Location A'!F35&gt;0,'Location A'!F35&lt;6,'Location B'!F35=0),LOWER($M$2),IF(AND('Location B'!F35&lt;6,'Location B'!F35&gt;0,'Location A'!F35=0),LOWER($M$3),IF(AND('Location A'!F35+'Location B'!F35&lt;8.5,'Location A'!F35+'Location B'!F35&gt;0),"Both","Error"))))))</f>
        <v/>
      </c>
      <c r="G36" s="156" t="str">
        <f>IF('Location A'!G35+'Location B'!G35=0,"",IF(AND('Location A'!G35&gt;=6,'Location B'!G35=0),UPPER($M$2),IF(AND('Location B'!G35&gt;=6,'Location A'!G35=0),UPPER($M$3),IF(AND('Location A'!G35&gt;0,'Location A'!G35&lt;6,'Location B'!G35=0),LOWER($M$2),IF(AND('Location B'!G35&lt;6,'Location B'!G35&gt;0,'Location A'!G35=0),LOWER($M$3),IF(AND('Location A'!G35+'Location B'!G35&lt;8.5,'Location A'!G35+'Location B'!G35&gt;0),"Both","Error"))))))</f>
        <v/>
      </c>
      <c r="H36" s="157"/>
      <c r="I36" s="307"/>
      <c r="J36" s="154" t="str">
        <f>IF('Location A'!J35+'Location B'!J35=0,"",IF(AND('Location A'!J35&gt;=6,'Location B'!J35=0),UPPER($M$2),IF(AND('Location B'!J35&gt;=6,'Location A'!J35=0),UPPER($M$3),IF(AND('Location A'!J35&gt;0,'Location A'!J35&lt;6,'Location B'!J35=0),LOWER($M$2),IF(AND('Location B'!J35&lt;6,'Location B'!J35&gt;0,'Location A'!J35=0),LOWER($M$3),IF(AND('Location A'!J35+'Location B'!J35&lt;8.5,'Location A'!J35+'Location B'!J35&gt;0),"Both","Error"))))))</f>
        <v/>
      </c>
      <c r="K36" s="155" t="str">
        <f>IF('Location A'!K35+'Location B'!K35=0,"",IF(AND('Location A'!K35&gt;=6,'Location B'!K35=0),UPPER($M$2),IF(AND('Location B'!K35&gt;=6,'Location A'!K35=0),UPPER($M$3),IF(AND('Location A'!K35&gt;0,'Location A'!K35&lt;6,'Location B'!K35=0),LOWER($M$2),IF(AND('Location B'!K35&lt;6,'Location B'!K35&gt;0,'Location A'!K35=0),LOWER($M$3),IF(AND('Location A'!K35+'Location B'!K35&lt;8.5,'Location A'!K35+'Location B'!K35&gt;0),"Both","Error"))))))</f>
        <v/>
      </c>
      <c r="L36" s="155" t="str">
        <f>IF('Location A'!L35+'Location B'!L35=0,"",IF(AND('Location A'!L35&gt;=6,'Location B'!L35=0),UPPER($M$2),IF(AND('Location B'!L35&gt;=6,'Location A'!L35=0),UPPER($M$3),IF(AND('Location A'!L35&gt;0,'Location A'!L35&lt;6,'Location B'!L35=0),LOWER($M$2),IF(AND('Location B'!L35&lt;6,'Location B'!L35&gt;0,'Location A'!L35=0),LOWER($M$3),IF(AND('Location A'!L35+'Location B'!L35&lt;8.5,'Location A'!L35+'Location B'!L35&gt;0),"Both","Error"))))))</f>
        <v/>
      </c>
      <c r="M36" s="155" t="str">
        <f>IF('Location A'!M35+'Location B'!M35=0,"",IF(AND('Location A'!M35&gt;=6,'Location B'!M35=0),UPPER($M$2),IF(AND('Location B'!M35&gt;=6,'Location A'!M35=0),UPPER($M$3),IF(AND('Location A'!M35&gt;0,'Location A'!M35&lt;6,'Location B'!M35=0),LOWER($M$2),IF(AND('Location B'!M35&lt;6,'Location B'!M35&gt;0,'Location A'!M35=0),LOWER($M$3),IF(AND('Location A'!M35+'Location B'!M35&lt;8.5,'Location A'!M35+'Location B'!M35&gt;0),"Both","Error"))))))</f>
        <v/>
      </c>
      <c r="N36" s="156" t="str">
        <f>IF('Location A'!N35+'Location B'!N35=0,"",IF(AND('Location A'!N35&gt;=6,'Location B'!N35=0),UPPER($M$2),IF(AND('Location B'!N35&gt;=6,'Location A'!N35=0),UPPER($M$3),IF(AND('Location A'!N35&gt;0,'Location A'!N35&lt;6,'Location B'!N35=0),LOWER($M$2),IF(AND('Location B'!N35&lt;6,'Location B'!N35&gt;0,'Location A'!N35=0),LOWER($M$3),IF(AND('Location A'!N35+'Location B'!N35&lt;8.5,'Location A'!N35+'Location B'!N35&gt;0),"Both","Error"))))))</f>
        <v/>
      </c>
      <c r="O36" s="157"/>
      <c r="P36" s="302"/>
      <c r="Q36" s="154" t="str">
        <f>IF('Location A'!Q35+'Location B'!Q35=0,"",IF(AND('Location A'!Q35&gt;=6,'Location B'!Q35=0),UPPER($M$2),IF(AND('Location B'!Q35&gt;=6,'Location A'!Q35=0),UPPER($M$3),IF(AND('Location A'!Q35&gt;0,'Location A'!Q35&lt;6,'Location B'!Q35=0),LOWER($M$2),IF(AND('Location B'!Q35&lt;6,'Location B'!Q35&gt;0,'Location A'!Q35=0),LOWER($M$3),IF(AND('Location A'!Q35+'Location B'!Q35&lt;8.5,'Location A'!Q35+'Location B'!Q35&gt;0),"Both","Error"))))))</f>
        <v/>
      </c>
      <c r="R36" s="155" t="str">
        <f>IF('Location A'!R35+'Location B'!R35=0,"",IF(AND('Location A'!R35&gt;=6,'Location B'!R35=0),UPPER($M$2),IF(AND('Location B'!R35&gt;=6,'Location A'!R35=0),UPPER($M$3),IF(AND('Location A'!R35&gt;0,'Location A'!R35&lt;6,'Location B'!R35=0),LOWER($M$2),IF(AND('Location B'!R35&lt;6,'Location B'!R35&gt;0,'Location A'!R35=0),LOWER($M$3),IF(AND('Location A'!R35+'Location B'!R35&lt;8.5,'Location A'!R35+'Location B'!R35&gt;0),"Both","Error"))))))</f>
        <v/>
      </c>
      <c r="S36" s="155" t="str">
        <f>IF('Location A'!S35+'Location B'!S35=0,"",IF(AND('Location A'!S35&gt;=6,'Location B'!S35=0),UPPER($M$2),IF(AND('Location B'!S35&gt;=6,'Location A'!S35=0),UPPER($M$3),IF(AND('Location A'!S35&gt;0,'Location A'!S35&lt;6,'Location B'!S35=0),LOWER($M$2),IF(AND('Location B'!S35&lt;6,'Location B'!S35&gt;0,'Location A'!S35=0),LOWER($M$3),IF(AND('Location A'!S35+'Location B'!S35&lt;8.5,'Location A'!S35+'Location B'!S35&gt;0),"Both","Error"))))))</f>
        <v/>
      </c>
      <c r="T36" s="155" t="str">
        <f>IF('Location A'!T35+'Location B'!T35=0,"",IF(AND('Location A'!T35&gt;=6,'Location B'!T35=0),UPPER($M$2),IF(AND('Location B'!T35&gt;=6,'Location A'!T35=0),UPPER($M$3),IF(AND('Location A'!T35&gt;0,'Location A'!T35&lt;6,'Location B'!T35=0),LOWER($M$2),IF(AND('Location B'!T35&lt;6,'Location B'!T35&gt;0,'Location A'!T35=0),LOWER($M$3),IF(AND('Location A'!T35+'Location B'!T35&lt;8.5,'Location A'!T35+'Location B'!T35&gt;0),"Both","Error"))))))</f>
        <v/>
      </c>
      <c r="U36" s="156" t="str">
        <f>IF('Location A'!U35+'Location B'!U35=0,"",IF(AND('Location A'!U35&gt;=6,'Location B'!U35=0),UPPER($M$2),IF(AND('Location B'!U35&gt;=6,'Location A'!U35=0),UPPER($M$3),IF(AND('Location A'!U35&gt;0,'Location A'!U35&lt;6,'Location B'!U35=0),LOWER($M$2),IF(AND('Location B'!U35&lt;6,'Location B'!U35&gt;0,'Location A'!U35=0),LOWER($M$3),IF(AND('Location A'!U35+'Location B'!U35&lt;8.5,'Location A'!U35+'Location B'!U35&gt;0),"Both","Error"))))))</f>
        <v/>
      </c>
      <c r="V36" s="157"/>
      <c r="W36" s="307"/>
      <c r="X36" s="154" t="str">
        <f>IF('Location A'!X35+'Location B'!X35=0,"",IF(AND('Location A'!X35&gt;=6,'Location B'!X35=0),UPPER($M$2),IF(AND('Location B'!X35&gt;=6,'Location A'!X35=0),UPPER($M$3),IF(AND('Location A'!X35&gt;0,'Location A'!X35&lt;6,'Location B'!X35=0),LOWER($M$2),IF(AND('Location B'!X35&lt;6,'Location B'!X35&gt;0,'Location A'!X35=0),LOWER($M$3),IF(AND('Location A'!X35+'Location B'!X35&lt;8.5,'Location A'!X35+'Location B'!X35&gt;0),"Both","Error"))))))</f>
        <v/>
      </c>
      <c r="Y36" s="155" t="str">
        <f>IF('Location A'!Y35+'Location B'!Y35=0,"",IF(AND('Location A'!Y35&gt;=6,'Location B'!Y35=0),UPPER($M$2),IF(AND('Location B'!Y35&gt;=6,'Location A'!Y35=0),UPPER($M$3),IF(AND('Location A'!Y35&gt;0,'Location A'!Y35&lt;6,'Location B'!Y35=0),LOWER($M$2),IF(AND('Location B'!Y35&lt;6,'Location B'!Y35&gt;0,'Location A'!Y35=0),LOWER($M$3),IF(AND('Location A'!Y35+'Location B'!Y35&lt;8.5,'Location A'!Y35+'Location B'!Y35&gt;0),"Both","Error"))))))</f>
        <v/>
      </c>
      <c r="Z36" s="155" t="str">
        <f>IF('Location A'!Z35+'Location B'!Z35=0,"",IF(AND('Location A'!Z35&gt;=6,'Location B'!Z35=0),UPPER($M$2),IF(AND('Location B'!Z35&gt;=6,'Location A'!Z35=0),UPPER($M$3),IF(AND('Location A'!Z35&gt;0,'Location A'!Z35&lt;6,'Location B'!Z35=0),LOWER($M$2),IF(AND('Location B'!Z35&lt;6,'Location B'!Z35&gt;0,'Location A'!Z35=0),LOWER($M$3),IF(AND('Location A'!Z35+'Location B'!Z35&lt;8.5,'Location A'!Z35+'Location B'!Z35&gt;0),"Both","Error"))))))</f>
        <v/>
      </c>
      <c r="AA36" s="155" t="str">
        <f>IF('Location A'!AA35+'Location B'!AA35=0,"",IF(AND('Location A'!AA35&gt;=6,'Location B'!AA35=0),UPPER($M$2),IF(AND('Location B'!AA35&gt;=6,'Location A'!AA35=0),UPPER($M$3),IF(AND('Location A'!AA35&gt;0,'Location A'!AA35&lt;6,'Location B'!AA35=0),LOWER($M$2),IF(AND('Location B'!AA35&lt;6,'Location B'!AA35&gt;0,'Location A'!AA35=0),LOWER($M$3),IF(AND('Location A'!AA35+'Location B'!AA35&lt;8.5,'Location A'!AA35+'Location B'!AA35&gt;0),"Both","Error"))))))</f>
        <v/>
      </c>
      <c r="AB36" s="156" t="str">
        <f>IF('Location A'!AB35+'Location B'!AB35=0,"",IF(AND('Location A'!AB35&gt;=6,'Location B'!AB35=0),UPPER($M$2),IF(AND('Location B'!AB35&gt;=6,'Location A'!AB35=0),UPPER($M$3),IF(AND('Location A'!AB35&gt;0,'Location A'!AB35&lt;6,'Location B'!AB35=0),LOWER($M$2),IF(AND('Location B'!AB35&lt;6,'Location B'!AB35&gt;0,'Location A'!AB35=0),LOWER($M$3),IF(AND('Location A'!AB35+'Location B'!AB35&lt;8.5,'Location A'!AB35+'Location B'!AB35&gt;0),"Both","Error"))))))</f>
        <v/>
      </c>
      <c r="AC36" s="26"/>
    </row>
    <row r="37" spans="1:32" ht="15.75" thickBot="1" x14ac:dyDescent="0.3">
      <c r="A37" s="11"/>
      <c r="B37" s="282"/>
      <c r="C37" s="158">
        <f>IF(AND(YEAR(SeptOffSet+30)=BegCalYear,MONTH(SeptOffSet+30)=9),SeptOffSet+30,"")</f>
        <v>46293</v>
      </c>
      <c r="D37" s="159">
        <f>IF(AND(YEAR(SeptOffSet+31)=BegCalYear,MONTH(SeptOffSet+31)=9),SeptOffSet+31,"")</f>
        <v>46294</v>
      </c>
      <c r="E37" s="159">
        <f>IF(AND(YEAR(SeptOffSet+32)=BegCalYear,MONTH(SeptOffSet+32)=9),SeptOffSet+32,"")</f>
        <v>46295</v>
      </c>
      <c r="F37" s="159" t="str">
        <f>IF(AND(YEAR(SeptOffSet+33)=BegCalYear,MONTH(SeptOffSet+33)=9),SeptOffSet+33,"")</f>
        <v/>
      </c>
      <c r="G37" s="160" t="str">
        <f>IF(AND(YEAR(SeptOffSet+34)=BegCalYear,MONTH(SeptOffSet+34)=9),SeptOffSet+34,"")</f>
        <v/>
      </c>
      <c r="H37" s="161"/>
      <c r="I37" s="308"/>
      <c r="J37" s="158">
        <f>IF(AND(YEAR(DecOffSet+30)=BegCalYear,MONTH(DecOffSet+30)=12),DecOffSet+30,"")</f>
        <v>46384</v>
      </c>
      <c r="K37" s="159">
        <f>IF(AND(YEAR(DecOffSet+31)=BegCalYear,MONTH(DecOffSet+31)=12),DecOffSet+31,"")</f>
        <v>46385</v>
      </c>
      <c r="L37" s="159">
        <f>IF(AND(YEAR(DecOffSet+32)=BegCalYear,MONTH(DecOffSet+32)=12),DecOffSet+32,"")</f>
        <v>46386</v>
      </c>
      <c r="M37" s="159">
        <f>IF(AND(YEAR(DecOffSet+33)=BegCalYear,MONTH(DecOffSet+33)=12),DecOffSet+33,"")</f>
        <v>46387</v>
      </c>
      <c r="N37" s="160" t="str">
        <f>IF(AND(YEAR(DecOffSet+34)=BegCalYear,MONTH(DecOffSet+34)=12),DecOffSet+34,"")</f>
        <v/>
      </c>
      <c r="O37" s="161"/>
      <c r="P37" s="303"/>
      <c r="Q37" s="158">
        <f>IF(AND(YEAR(MarOffSet+30)=CalendarYear,MONTH(MarOffSet+30)=3),MarOffSet+30,"")</f>
        <v>46475</v>
      </c>
      <c r="R37" s="159">
        <f>IF(AND(YEAR(MarOffSet+31)=CalendarYear,MONTH(MarOffSet+31)=3),MarOffSet+31,"")</f>
        <v>46476</v>
      </c>
      <c r="S37" s="159">
        <f>IF(AND(YEAR(MarOffSet+32)=CalendarYear,MONTH(MarOffSet+32)=3),MarOffSet+32,"")</f>
        <v>46477</v>
      </c>
      <c r="T37" s="159" t="str">
        <f>IF(AND(YEAR(MarOffSet+33)=CalendarYear,MONTH(MarOffSet+33)=3),MarOffSet+33,"")</f>
        <v/>
      </c>
      <c r="U37" s="160" t="str">
        <f>IF(AND(YEAR(MarOffSet+34)=CalendarYear,MONTH(MarOffSet+34)=3),MarOffSet+34,"")</f>
        <v/>
      </c>
      <c r="V37" s="161"/>
      <c r="W37" s="308"/>
      <c r="X37" s="158">
        <f>IF(AND(YEAR(JuneOffSet+30)=CalendarYear,MONTH(JuneOffSet+30)=6),JuneOffSet+30,"")</f>
        <v>46566</v>
      </c>
      <c r="Y37" s="159">
        <f>IF(AND(YEAR(JuneOffSet+31)=CalendarYear,MONTH(JuneOffSet+31)=6),JuneOffSet+31,"")</f>
        <v>46567</v>
      </c>
      <c r="Z37" s="159">
        <f>IF(AND(YEAR(JuneOffSet+32)=CalendarYear,MONTH(JuneOffSet+32)=6),JuneOffSet+32,"")</f>
        <v>46568</v>
      </c>
      <c r="AA37" s="159" t="str">
        <f>IF(AND(YEAR(JuneOffSet+33)=CalendarYear,MONTH(JuneOffSet+33)=6),JuneOffSet+33,"")</f>
        <v/>
      </c>
      <c r="AB37" s="160" t="str">
        <f>IF(AND(YEAR(JuneOffSet+34)=CalendarYear,MONTH(JuneOffSet+34)=6),JuneOffSet+34,"")</f>
        <v/>
      </c>
      <c r="AC37" s="43"/>
    </row>
    <row r="38" spans="1:32" ht="15.75" thickBot="1" x14ac:dyDescent="0.3">
      <c r="A38" s="11"/>
      <c r="B38" s="16"/>
      <c r="C38" s="25"/>
      <c r="D38" s="25"/>
      <c r="E38" s="25"/>
      <c r="F38" s="25"/>
      <c r="G38" s="25"/>
      <c r="H38" s="25"/>
      <c r="I38" s="25"/>
      <c r="J38" s="25"/>
      <c r="K38" s="25"/>
      <c r="L38" s="25"/>
      <c r="M38" s="25"/>
      <c r="N38" s="25"/>
      <c r="O38" s="25"/>
      <c r="P38" s="25"/>
      <c r="Q38" s="25"/>
      <c r="R38" s="25"/>
      <c r="S38" s="25"/>
      <c r="T38" s="25"/>
      <c r="U38" s="25"/>
      <c r="V38" s="25"/>
      <c r="W38" s="24"/>
      <c r="X38" s="25"/>
      <c r="Y38" s="25"/>
      <c r="Z38" s="25"/>
      <c r="AA38" s="25"/>
      <c r="AB38" s="25"/>
      <c r="AC38" s="42"/>
    </row>
    <row r="39" spans="1:32" ht="15" customHeight="1" x14ac:dyDescent="0.25">
      <c r="A39" s="11"/>
      <c r="B39" s="16"/>
      <c r="C39" s="25"/>
      <c r="D39" s="25"/>
      <c r="E39" s="25"/>
      <c r="F39" s="25"/>
      <c r="G39" s="25"/>
      <c r="H39" s="25"/>
      <c r="I39" s="25"/>
      <c r="J39" s="25"/>
      <c r="K39" s="25"/>
      <c r="L39" s="25"/>
      <c r="M39" s="11"/>
      <c r="N39" s="11"/>
      <c r="O39" s="287" t="s">
        <v>196</v>
      </c>
      <c r="P39" s="288"/>
      <c r="Q39" s="288"/>
      <c r="R39" s="288"/>
      <c r="S39" s="288"/>
      <c r="T39" s="289"/>
      <c r="U39" s="11"/>
      <c r="V39" s="191"/>
      <c r="W39" s="310"/>
      <c r="X39" s="197"/>
      <c r="Y39" s="197"/>
      <c r="Z39" s="197"/>
      <c r="AA39" s="197"/>
      <c r="AB39" s="197"/>
      <c r="AC39" s="198"/>
    </row>
    <row r="40" spans="1:32" ht="15" customHeight="1" x14ac:dyDescent="0.25">
      <c r="A40" s="18"/>
      <c r="B40" s="2"/>
      <c r="C40" s="265" t="s">
        <v>29</v>
      </c>
      <c r="D40" s="266"/>
      <c r="E40" s="19"/>
      <c r="F40" s="19"/>
      <c r="G40" s="20"/>
      <c r="H40" s="21"/>
      <c r="I40" s="8"/>
      <c r="J40" s="217" t="s">
        <v>187</v>
      </c>
      <c r="K40" s="309"/>
      <c r="L40" s="22"/>
      <c r="M40" s="11"/>
      <c r="N40" s="11"/>
      <c r="O40" s="290"/>
      <c r="P40" s="291"/>
      <c r="Q40" s="271">
        <f>'Location A'!L2+'Location B'!L2</f>
        <v>0</v>
      </c>
      <c r="R40" s="292"/>
      <c r="S40" s="293" t="e">
        <f>(O40/8)/Q40</f>
        <v>#DIV/0!</v>
      </c>
      <c r="T40" s="294"/>
      <c r="U40" s="11"/>
      <c r="V40" s="90"/>
      <c r="W40" s="310"/>
      <c r="X40" s="199"/>
      <c r="Y40" s="199"/>
      <c r="Z40" s="199"/>
      <c r="AA40" s="199"/>
      <c r="AB40" s="199"/>
      <c r="AC40" s="90"/>
    </row>
    <row r="41" spans="1:32" ht="15.75" customHeight="1" x14ac:dyDescent="0.25">
      <c r="A41" s="51"/>
      <c r="B41" s="95"/>
      <c r="C41" s="265" t="s">
        <v>31</v>
      </c>
      <c r="D41" s="266"/>
      <c r="E41" s="266"/>
      <c r="F41" s="143"/>
      <c r="G41" s="143"/>
      <c r="H41" s="14"/>
      <c r="I41" s="202"/>
      <c r="J41" s="217">
        <f>D2</f>
        <v>0</v>
      </c>
      <c r="K41" s="218"/>
      <c r="L41" s="218"/>
      <c r="M41" s="218"/>
      <c r="N41" s="315"/>
      <c r="O41" s="290"/>
      <c r="P41" s="291"/>
      <c r="Q41" s="271"/>
      <c r="R41" s="292"/>
      <c r="S41" s="295" t="s">
        <v>63</v>
      </c>
      <c r="T41" s="296"/>
      <c r="U41" s="11"/>
      <c r="V41" s="37"/>
      <c r="W41" s="310"/>
      <c r="X41" s="197"/>
      <c r="Y41" s="197"/>
      <c r="Z41" s="197"/>
      <c r="AA41" s="197"/>
      <c r="AB41" s="197"/>
      <c r="AC41" s="90"/>
    </row>
    <row r="42" spans="1:32" ht="16.5" customHeight="1" thickBot="1" x14ac:dyDescent="0.3">
      <c r="A42" s="11"/>
      <c r="B42" s="4"/>
      <c r="C42" s="265" t="s">
        <v>33</v>
      </c>
      <c r="D42" s="266"/>
      <c r="E42" s="266"/>
      <c r="F42" s="266"/>
      <c r="G42" s="266"/>
      <c r="H42" s="14"/>
      <c r="I42" s="203"/>
      <c r="J42" s="217">
        <f>D3</f>
        <v>0</v>
      </c>
      <c r="K42" s="218"/>
      <c r="L42" s="218"/>
      <c r="M42" s="218"/>
      <c r="N42" s="218"/>
      <c r="O42" s="311" t="s">
        <v>65</v>
      </c>
      <c r="P42" s="312"/>
      <c r="Q42" s="304" t="s">
        <v>62</v>
      </c>
      <c r="R42" s="305"/>
      <c r="S42" s="313" t="s">
        <v>64</v>
      </c>
      <c r="T42" s="314"/>
      <c r="U42" s="11"/>
      <c r="V42" s="195"/>
      <c r="W42" s="310"/>
      <c r="X42" s="199"/>
      <c r="Y42" s="199"/>
      <c r="Z42" s="199"/>
      <c r="AA42" s="199"/>
      <c r="AB42" s="199"/>
      <c r="AC42" s="200"/>
    </row>
    <row r="43" spans="1:32" ht="15" customHeight="1" x14ac:dyDescent="0.25">
      <c r="A43" s="51"/>
      <c r="B43" s="67"/>
      <c r="C43" s="265" t="s">
        <v>36</v>
      </c>
      <c r="D43" s="266"/>
      <c r="E43" s="266"/>
      <c r="F43" s="266"/>
      <c r="G43" s="266"/>
      <c r="H43" s="266"/>
      <c r="I43" s="123"/>
      <c r="J43" s="144" t="s">
        <v>188</v>
      </c>
      <c r="K43" s="118"/>
      <c r="L43" s="31"/>
      <c r="M43" s="163"/>
      <c r="N43" s="163"/>
      <c r="O43" s="297" t="s">
        <v>182</v>
      </c>
      <c r="P43" s="297"/>
      <c r="Q43" s="297"/>
      <c r="R43" s="297"/>
      <c r="S43" s="297"/>
      <c r="T43" s="297"/>
      <c r="U43" s="11"/>
      <c r="V43" s="31"/>
      <c r="W43" s="31"/>
      <c r="X43" s="31"/>
      <c r="Y43" s="11"/>
      <c r="Z43" s="11"/>
      <c r="AA43" s="11"/>
      <c r="AB43" s="11"/>
      <c r="AC43" s="11"/>
    </row>
    <row r="44" spans="1:32" ht="15.75" customHeight="1" x14ac:dyDescent="0.25">
      <c r="A44" s="51"/>
      <c r="B44" s="14"/>
      <c r="C44" s="12"/>
      <c r="D44" s="12"/>
      <c r="E44" s="12"/>
      <c r="F44" s="12"/>
      <c r="G44" s="12"/>
      <c r="H44" s="12"/>
      <c r="I44" s="124" t="s">
        <v>192</v>
      </c>
      <c r="J44" s="309" t="s">
        <v>193</v>
      </c>
      <c r="K44" s="309"/>
      <c r="L44" s="144"/>
      <c r="M44" s="270"/>
      <c r="N44" s="270"/>
      <c r="O44" s="235"/>
      <c r="P44" s="235"/>
      <c r="Q44" s="235"/>
      <c r="R44" s="235"/>
      <c r="S44" s="235"/>
      <c r="T44" s="235"/>
      <c r="U44" s="11"/>
      <c r="V44" s="86"/>
      <c r="W44" s="243" t="s">
        <v>35</v>
      </c>
      <c r="X44" s="243"/>
      <c r="Y44" s="244"/>
      <c r="Z44" s="245">
        <f>ROUNDUP(SUM('Location A'!Z43+'Location B'!Z43),1)</f>
        <v>0</v>
      </c>
      <c r="AA44" s="246"/>
      <c r="AB44" s="249" t="e">
        <f>IF((Z44=SUM(Q2+Q3)),"ü","û")</f>
        <v>#N/A</v>
      </c>
      <c r="AC44" s="11"/>
    </row>
    <row r="45" spans="1:32" ht="21" customHeight="1" x14ac:dyDescent="0.25">
      <c r="A45" s="51"/>
      <c r="B45" s="11"/>
      <c r="C45" s="11"/>
      <c r="D45" s="11"/>
      <c r="E45" s="11"/>
      <c r="F45" s="11"/>
      <c r="G45" s="11"/>
      <c r="H45" s="11"/>
      <c r="I45" s="11"/>
      <c r="J45" s="11"/>
      <c r="K45" s="11"/>
      <c r="L45" s="11"/>
      <c r="M45" s="338"/>
      <c r="N45" s="338"/>
      <c r="O45" s="338"/>
      <c r="P45" s="338"/>
      <c r="Q45" s="338"/>
      <c r="R45" s="338"/>
      <c r="S45" s="142"/>
      <c r="T45" s="11"/>
      <c r="U45" s="11"/>
      <c r="V45" s="11"/>
      <c r="W45" s="243"/>
      <c r="X45" s="243"/>
      <c r="Y45" s="244"/>
      <c r="Z45" s="247"/>
      <c r="AA45" s="248"/>
      <c r="AB45" s="249"/>
      <c r="AC45" s="11"/>
    </row>
    <row r="46" spans="1:32" ht="18.75" customHeight="1" thickBot="1" x14ac:dyDescent="0.3">
      <c r="A46" s="51"/>
      <c r="B46" s="11"/>
      <c r="C46" s="11"/>
      <c r="D46" s="11"/>
      <c r="E46" s="11"/>
      <c r="F46" s="11"/>
      <c r="G46" s="11"/>
      <c r="H46" s="11"/>
      <c r="I46" s="11"/>
      <c r="J46" s="11"/>
      <c r="K46" s="11"/>
      <c r="L46" s="11"/>
      <c r="N46" s="145"/>
      <c r="O46" s="145"/>
      <c r="P46" s="145" t="s">
        <v>195</v>
      </c>
      <c r="Q46" s="145"/>
      <c r="R46" s="145"/>
      <c r="S46" s="11"/>
      <c r="T46" s="11"/>
      <c r="U46" s="11"/>
      <c r="V46" s="11"/>
      <c r="W46" s="11"/>
      <c r="X46" s="242" t="s">
        <v>50</v>
      </c>
      <c r="Y46" s="242"/>
      <c r="Z46" s="242"/>
      <c r="AA46" s="242"/>
      <c r="AB46" s="16"/>
      <c r="AC46" s="11"/>
      <c r="AD46" s="40"/>
    </row>
    <row r="47" spans="1:32" ht="26.25" customHeight="1" thickBot="1" x14ac:dyDescent="0.3">
      <c r="A47" s="51"/>
      <c r="B47" s="337" t="s">
        <v>571</v>
      </c>
      <c r="C47" s="337"/>
      <c r="D47" s="337"/>
      <c r="E47" s="337"/>
      <c r="F47" s="337"/>
      <c r="G47" s="337"/>
      <c r="H47" s="337"/>
      <c r="I47" s="337"/>
      <c r="J47" s="337"/>
      <c r="K47" s="337"/>
      <c r="L47" s="337"/>
      <c r="M47" s="337"/>
      <c r="N47" s="337"/>
      <c r="O47" s="38"/>
      <c r="P47" s="328"/>
      <c r="Q47" s="329"/>
      <c r="R47" s="329"/>
      <c r="S47" s="329"/>
      <c r="T47" s="329"/>
      <c r="U47" s="329"/>
      <c r="V47" s="329"/>
      <c r="W47" s="329"/>
      <c r="X47" s="329"/>
      <c r="Y47" s="329"/>
      <c r="Z47" s="329"/>
      <c r="AA47" s="329"/>
      <c r="AB47" s="330"/>
      <c r="AC47" s="14"/>
      <c r="AD47" s="37"/>
      <c r="AE47" s="37"/>
      <c r="AF47" s="37"/>
    </row>
    <row r="48" spans="1:32" x14ac:dyDescent="0.25">
      <c r="A48" s="51"/>
      <c r="B48" s="320" t="s">
        <v>37</v>
      </c>
      <c r="C48" s="321"/>
      <c r="D48" s="321"/>
      <c r="E48" s="321"/>
      <c r="F48" s="321"/>
      <c r="G48" s="321"/>
      <c r="H48" s="321"/>
      <c r="I48" s="321"/>
      <c r="J48" s="321"/>
      <c r="K48" s="321"/>
      <c r="L48" s="321"/>
      <c r="M48" s="321"/>
      <c r="N48" s="322"/>
      <c r="O48" s="98"/>
      <c r="P48" s="331"/>
      <c r="Q48" s="332"/>
      <c r="R48" s="332"/>
      <c r="S48" s="332"/>
      <c r="T48" s="332"/>
      <c r="U48" s="332"/>
      <c r="V48" s="332"/>
      <c r="W48" s="332"/>
      <c r="X48" s="332"/>
      <c r="Y48" s="332"/>
      <c r="Z48" s="332"/>
      <c r="AA48" s="332"/>
      <c r="AB48" s="333"/>
      <c r="AC48" s="45"/>
      <c r="AD48" s="37"/>
      <c r="AE48" s="37"/>
      <c r="AF48" s="37"/>
    </row>
    <row r="49" spans="1:32" ht="26.25" customHeight="1" x14ac:dyDescent="0.25">
      <c r="A49" s="51"/>
      <c r="B49" s="323" t="s">
        <v>38</v>
      </c>
      <c r="C49" s="324"/>
      <c r="D49" s="324"/>
      <c r="E49" s="324"/>
      <c r="F49" s="324"/>
      <c r="G49" s="324"/>
      <c r="H49" s="324"/>
      <c r="I49" s="324"/>
      <c r="J49" s="324"/>
      <c r="K49" s="324"/>
      <c r="L49" s="324"/>
      <c r="M49" s="324"/>
      <c r="N49" s="325"/>
      <c r="O49" s="44"/>
      <c r="P49" s="331"/>
      <c r="Q49" s="332"/>
      <c r="R49" s="332"/>
      <c r="S49" s="332"/>
      <c r="T49" s="332"/>
      <c r="U49" s="332"/>
      <c r="V49" s="332"/>
      <c r="W49" s="332"/>
      <c r="X49" s="332"/>
      <c r="Y49" s="332"/>
      <c r="Z49" s="332"/>
      <c r="AA49" s="332"/>
      <c r="AB49" s="333"/>
      <c r="AC49" s="45"/>
      <c r="AD49" s="35"/>
      <c r="AE49" s="35"/>
      <c r="AF49" s="35"/>
    </row>
    <row r="50" spans="1:32" ht="21" customHeight="1" x14ac:dyDescent="0.25">
      <c r="A50" s="16"/>
      <c r="B50" s="99"/>
      <c r="C50" s="100" t="s">
        <v>39</v>
      </c>
      <c r="D50" s="326">
        <f>'Location A'!C50</f>
        <v>0</v>
      </c>
      <c r="E50" s="326"/>
      <c r="F50" s="101" t="s">
        <v>179</v>
      </c>
      <c r="G50" s="16"/>
      <c r="H50" s="16"/>
      <c r="I50" s="16"/>
      <c r="J50" s="102" t="s">
        <v>39</v>
      </c>
      <c r="K50" s="327">
        <f>'Location B'!C50</f>
        <v>0</v>
      </c>
      <c r="L50" s="327"/>
      <c r="M50" s="103" t="s">
        <v>179</v>
      </c>
      <c r="N50" s="104"/>
      <c r="O50" s="38"/>
      <c r="P50" s="331"/>
      <c r="Q50" s="332"/>
      <c r="R50" s="332"/>
      <c r="S50" s="332"/>
      <c r="T50" s="332"/>
      <c r="U50" s="332"/>
      <c r="V50" s="332"/>
      <c r="W50" s="332"/>
      <c r="X50" s="332"/>
      <c r="Y50" s="332"/>
      <c r="Z50" s="332"/>
      <c r="AA50" s="332"/>
      <c r="AB50" s="333"/>
      <c r="AC50" s="39"/>
      <c r="AD50" s="35"/>
      <c r="AE50" s="35"/>
      <c r="AF50" s="35"/>
    </row>
    <row r="51" spans="1:32" ht="21.75" customHeight="1" x14ac:dyDescent="0.25">
      <c r="A51" s="14"/>
      <c r="B51" s="99"/>
      <c r="C51" s="105" t="s">
        <v>40</v>
      </c>
      <c r="D51" s="326">
        <f>'Location A'!C51</f>
        <v>0</v>
      </c>
      <c r="E51" s="326"/>
      <c r="F51" s="101" t="s">
        <v>179</v>
      </c>
      <c r="G51" s="110"/>
      <c r="H51" s="110"/>
      <c r="I51" s="110"/>
      <c r="J51" s="102" t="s">
        <v>40</v>
      </c>
      <c r="K51" s="327">
        <f>'Location B'!C51</f>
        <v>0</v>
      </c>
      <c r="L51" s="327"/>
      <c r="M51" s="103" t="s">
        <v>179</v>
      </c>
      <c r="N51" s="104"/>
      <c r="O51" s="44"/>
      <c r="P51" s="331"/>
      <c r="Q51" s="332"/>
      <c r="R51" s="332"/>
      <c r="S51" s="332"/>
      <c r="T51" s="332"/>
      <c r="U51" s="332"/>
      <c r="V51" s="332"/>
      <c r="W51" s="332"/>
      <c r="X51" s="332"/>
      <c r="Y51" s="332"/>
      <c r="Z51" s="332"/>
      <c r="AA51" s="332"/>
      <c r="AB51" s="333"/>
      <c r="AC51" s="39"/>
      <c r="AD51" s="90"/>
    </row>
    <row r="52" spans="1:32" ht="15.75" thickBot="1" x14ac:dyDescent="0.3">
      <c r="A52" s="11"/>
      <c r="B52" s="106"/>
      <c r="C52" s="108"/>
      <c r="D52" s="108"/>
      <c r="E52" s="108"/>
      <c r="F52" s="108"/>
      <c r="G52" s="108"/>
      <c r="H52" s="108"/>
      <c r="I52" s="107"/>
      <c r="J52" s="107"/>
      <c r="K52" s="107"/>
      <c r="L52" s="107"/>
      <c r="M52" s="108"/>
      <c r="N52" s="109"/>
      <c r="O52" s="44"/>
      <c r="P52" s="334"/>
      <c r="Q52" s="335"/>
      <c r="R52" s="335"/>
      <c r="S52" s="335"/>
      <c r="T52" s="335"/>
      <c r="U52" s="335"/>
      <c r="V52" s="335"/>
      <c r="W52" s="335"/>
      <c r="X52" s="335"/>
      <c r="Y52" s="335"/>
      <c r="Z52" s="335"/>
      <c r="AA52" s="335"/>
      <c r="AB52" s="336"/>
      <c r="AC52" s="44"/>
      <c r="AD52" s="90"/>
    </row>
    <row r="53" spans="1:32" x14ac:dyDescent="0.25">
      <c r="A53" s="11"/>
      <c r="B53" s="319" t="s">
        <v>570</v>
      </c>
      <c r="C53" s="319"/>
      <c r="D53" s="319"/>
      <c r="E53" s="319"/>
      <c r="F53" s="319"/>
      <c r="G53" s="319"/>
      <c r="H53" s="319"/>
      <c r="I53" s="319"/>
      <c r="J53" s="319"/>
      <c r="K53" s="319"/>
      <c r="L53" s="319"/>
      <c r="M53" s="319"/>
      <c r="N53" s="319"/>
      <c r="O53" s="319"/>
      <c r="P53" s="319"/>
      <c r="Q53" s="319"/>
      <c r="R53" s="319"/>
      <c r="S53" s="319"/>
      <c r="T53" s="319"/>
      <c r="U53" s="319"/>
      <c r="V53" s="319"/>
      <c r="W53" s="319"/>
      <c r="X53" s="319"/>
      <c r="Y53" s="319"/>
      <c r="Z53" s="319"/>
      <c r="AA53" s="319"/>
      <c r="AB53" s="319"/>
      <c r="AC53" s="56"/>
      <c r="AD53" s="90"/>
    </row>
    <row r="54" spans="1:32" x14ac:dyDescent="0.25">
      <c r="A54" s="11"/>
      <c r="B54" s="319"/>
      <c r="C54" s="319"/>
      <c r="D54" s="319"/>
      <c r="E54" s="319"/>
      <c r="F54" s="319"/>
      <c r="G54" s="319"/>
      <c r="H54" s="319"/>
      <c r="I54" s="319"/>
      <c r="J54" s="319"/>
      <c r="K54" s="319"/>
      <c r="L54" s="319"/>
      <c r="M54" s="319"/>
      <c r="N54" s="319"/>
      <c r="O54" s="319"/>
      <c r="P54" s="319"/>
      <c r="Q54" s="319"/>
      <c r="R54" s="319"/>
      <c r="S54" s="319"/>
      <c r="T54" s="319"/>
      <c r="U54" s="319"/>
      <c r="V54" s="319"/>
      <c r="W54" s="319"/>
      <c r="X54" s="319"/>
      <c r="Y54" s="319"/>
      <c r="Z54" s="319"/>
      <c r="AA54" s="319"/>
      <c r="AB54" s="319"/>
      <c r="AC54" s="11"/>
      <c r="AD54" s="40"/>
    </row>
    <row r="55" spans="1:32" x14ac:dyDescent="0.25">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row>
  </sheetData>
  <sheetProtection algorithmName="SHA-512" hashValue="sQLQhpBPtUFF9JzyFloV8vZ2NIiGMvwA/kNJa1ETeb4kM9cG3gTV0JMeydu8iAxou8dEU1ieyfodogmszrdg8Q==" saltValue="6kc43+/ynQ31INAoqFypZg==" spinCount="100000" sheet="1" selectLockedCells="1"/>
  <mergeCells count="56">
    <mergeCell ref="W44:Y45"/>
    <mergeCell ref="Z44:AA45"/>
    <mergeCell ref="B53:AB54"/>
    <mergeCell ref="B48:N48"/>
    <mergeCell ref="B49:N49"/>
    <mergeCell ref="D50:E50"/>
    <mergeCell ref="K50:L50"/>
    <mergeCell ref="D51:E51"/>
    <mergeCell ref="K51:L51"/>
    <mergeCell ref="P47:AB52"/>
    <mergeCell ref="B47:N47"/>
    <mergeCell ref="M45:R45"/>
    <mergeCell ref="AB44:AB45"/>
    <mergeCell ref="X46:AA46"/>
    <mergeCell ref="M44:N44"/>
    <mergeCell ref="J44:K44"/>
    <mergeCell ref="B1:C1"/>
    <mergeCell ref="D1:L1"/>
    <mergeCell ref="B3:C3"/>
    <mergeCell ref="B6:B15"/>
    <mergeCell ref="I6:I15"/>
    <mergeCell ref="B2:C2"/>
    <mergeCell ref="D2:L2"/>
    <mergeCell ref="D3:L3"/>
    <mergeCell ref="W6:W15"/>
    <mergeCell ref="C40:D40"/>
    <mergeCell ref="J40:K40"/>
    <mergeCell ref="W17:W26"/>
    <mergeCell ref="W28:W37"/>
    <mergeCell ref="I28:I37"/>
    <mergeCell ref="P28:P37"/>
    <mergeCell ref="I17:I26"/>
    <mergeCell ref="P17:P26"/>
    <mergeCell ref="W39:W42"/>
    <mergeCell ref="C41:E41"/>
    <mergeCell ref="O42:P42"/>
    <mergeCell ref="S42:T42"/>
    <mergeCell ref="J41:N41"/>
    <mergeCell ref="O43:T44"/>
    <mergeCell ref="B28:B37"/>
    <mergeCell ref="T2:U2"/>
    <mergeCell ref="Q2:R2"/>
    <mergeCell ref="Q3:R3"/>
    <mergeCell ref="P6:P15"/>
    <mergeCell ref="B17:B26"/>
    <mergeCell ref="Q42:R42"/>
    <mergeCell ref="C42:G42"/>
    <mergeCell ref="C43:H43"/>
    <mergeCell ref="J42:N42"/>
    <mergeCell ref="N1:O1"/>
    <mergeCell ref="P1:Q1"/>
    <mergeCell ref="O39:T39"/>
    <mergeCell ref="O40:P41"/>
    <mergeCell ref="Q40:R41"/>
    <mergeCell ref="S40:T40"/>
    <mergeCell ref="S41:T41"/>
  </mergeCells>
  <conditionalFormatting sqref="Z44">
    <cfRule type="expression" dxfId="1280" priority="16187">
      <formula>$Z$44&lt;&gt;SUM($Q$2+$Q$3)</formula>
    </cfRule>
  </conditionalFormatting>
  <conditionalFormatting sqref="O40">
    <cfRule type="cellIs" dxfId="1279" priority="5949" operator="greaterThan">
      <formula>0</formula>
    </cfRule>
  </conditionalFormatting>
  <conditionalFormatting sqref="C6">
    <cfRule type="cellIs" dxfId="1278" priority="5752" operator="equal">
      <formula>"Both"</formula>
    </cfRule>
    <cfRule type="cellIs" dxfId="1277" priority="5753" operator="equal">
      <formula>$M$3</formula>
    </cfRule>
    <cfRule type="cellIs" dxfId="1276" priority="5754" operator="equal">
      <formula>$M$2</formula>
    </cfRule>
    <cfRule type="expression" dxfId="1275" priority="5757">
      <formula>C7=""</formula>
    </cfRule>
  </conditionalFormatting>
  <conditionalFormatting sqref="C6">
    <cfRule type="cellIs" dxfId="1274" priority="5749" operator="equal">
      <formula>"error"</formula>
    </cfRule>
  </conditionalFormatting>
  <conditionalFormatting sqref="X39:AB39">
    <cfRule type="cellIs" dxfId="1273" priority="1762" operator="equal">
      <formula>"Both"</formula>
    </cfRule>
    <cfRule type="cellIs" dxfId="1272" priority="1763" operator="equal">
      <formula>$M$3</formula>
    </cfRule>
    <cfRule type="cellIs" dxfId="1271" priority="1764" operator="equal">
      <formula>$M$2</formula>
    </cfRule>
    <cfRule type="expression" dxfId="1270" priority="1767">
      <formula>X40=""</formula>
    </cfRule>
  </conditionalFormatting>
  <conditionalFormatting sqref="AB39">
    <cfRule type="cellIs" dxfId="1269" priority="1760" operator="equal">
      <formula>"error"</formula>
    </cfRule>
  </conditionalFormatting>
  <conditionalFormatting sqref="X39:AB39">
    <cfRule type="cellIs" dxfId="1268" priority="1759" operator="equal">
      <formula>"error"</formula>
    </cfRule>
  </conditionalFormatting>
  <conditionalFormatting sqref="X41:AB41">
    <cfRule type="cellIs" dxfId="1267" priority="1737" operator="equal">
      <formula>"Both"</formula>
    </cfRule>
    <cfRule type="cellIs" dxfId="1266" priority="1738" operator="equal">
      <formula>$M$3</formula>
    </cfRule>
    <cfRule type="cellIs" dxfId="1265" priority="1739" operator="equal">
      <formula>$M$2</formula>
    </cfRule>
    <cfRule type="expression" dxfId="1264" priority="1742">
      <formula>X42=""</formula>
    </cfRule>
  </conditionalFormatting>
  <conditionalFormatting sqref="AB41">
    <cfRule type="cellIs" dxfId="1263" priority="1735" operator="equal">
      <formula>"error"</formula>
    </cfRule>
  </conditionalFormatting>
  <conditionalFormatting sqref="X41:AB41">
    <cfRule type="cellIs" dxfId="1262" priority="1734" operator="equal">
      <formula>"error"</formula>
    </cfRule>
  </conditionalFormatting>
  <conditionalFormatting sqref="D6:G6">
    <cfRule type="cellIs" dxfId="1261" priority="1662" operator="equal">
      <formula>"Both"</formula>
    </cfRule>
    <cfRule type="cellIs" dxfId="1260" priority="1663" operator="equal">
      <formula>$M$3</formula>
    </cfRule>
    <cfRule type="cellIs" dxfId="1259" priority="1664" operator="equal">
      <formula>$M$2</formula>
    </cfRule>
    <cfRule type="expression" dxfId="1258" priority="1667">
      <formula>D7=""</formula>
    </cfRule>
  </conditionalFormatting>
  <conditionalFormatting sqref="D6:G6">
    <cfRule type="cellIs" dxfId="1257" priority="1660" operator="equal">
      <formula>"error"</formula>
    </cfRule>
  </conditionalFormatting>
  <conditionalFormatting sqref="C8">
    <cfRule type="cellIs" dxfId="1256" priority="1648" operator="equal">
      <formula>"Both"</formula>
    </cfRule>
    <cfRule type="cellIs" dxfId="1255" priority="1649" operator="equal">
      <formula>$M$3</formula>
    </cfRule>
    <cfRule type="cellIs" dxfId="1254" priority="1650" operator="equal">
      <formula>$M$2</formula>
    </cfRule>
    <cfRule type="expression" dxfId="1253" priority="1653">
      <formula>C9=""</formula>
    </cfRule>
  </conditionalFormatting>
  <conditionalFormatting sqref="C8">
    <cfRule type="cellIs" dxfId="1252" priority="1646" operator="equal">
      <formula>"error"</formula>
    </cfRule>
  </conditionalFormatting>
  <conditionalFormatting sqref="D8:G8">
    <cfRule type="cellIs" dxfId="1251" priority="1634" operator="equal">
      <formula>"Both"</formula>
    </cfRule>
    <cfRule type="cellIs" dxfId="1250" priority="1635" operator="equal">
      <formula>$M$3</formula>
    </cfRule>
    <cfRule type="cellIs" dxfId="1249" priority="1636" operator="equal">
      <formula>$M$2</formula>
    </cfRule>
    <cfRule type="expression" dxfId="1248" priority="1639">
      <formula>D9=""</formula>
    </cfRule>
  </conditionalFormatting>
  <conditionalFormatting sqref="D8:G8">
    <cfRule type="cellIs" dxfId="1247" priority="1632" operator="equal">
      <formula>"error"</formula>
    </cfRule>
  </conditionalFormatting>
  <conditionalFormatting sqref="C10">
    <cfRule type="cellIs" dxfId="1246" priority="1620" operator="equal">
      <formula>"Both"</formula>
    </cfRule>
    <cfRule type="cellIs" dxfId="1245" priority="1621" operator="equal">
      <formula>$M$3</formula>
    </cfRule>
    <cfRule type="cellIs" dxfId="1244" priority="1622" operator="equal">
      <formula>$M$2</formula>
    </cfRule>
    <cfRule type="expression" dxfId="1243" priority="1625">
      <formula>C11=""</formula>
    </cfRule>
  </conditionalFormatting>
  <conditionalFormatting sqref="C10">
    <cfRule type="cellIs" dxfId="1242" priority="1618" operator="equal">
      <formula>"error"</formula>
    </cfRule>
  </conditionalFormatting>
  <conditionalFormatting sqref="D10:G10">
    <cfRule type="cellIs" dxfId="1241" priority="1606" operator="equal">
      <formula>"Both"</formula>
    </cfRule>
    <cfRule type="cellIs" dxfId="1240" priority="1607" operator="equal">
      <formula>$M$3</formula>
    </cfRule>
    <cfRule type="cellIs" dxfId="1239" priority="1608" operator="equal">
      <formula>$M$2</formula>
    </cfRule>
    <cfRule type="expression" dxfId="1238" priority="1611">
      <formula>D11=""</formula>
    </cfRule>
  </conditionalFormatting>
  <conditionalFormatting sqref="D10:G10">
    <cfRule type="cellIs" dxfId="1237" priority="1604" operator="equal">
      <formula>"error"</formula>
    </cfRule>
  </conditionalFormatting>
  <conditionalFormatting sqref="C12">
    <cfRule type="cellIs" dxfId="1236" priority="1592" operator="equal">
      <formula>"Both"</formula>
    </cfRule>
    <cfRule type="cellIs" dxfId="1235" priority="1593" operator="equal">
      <formula>$M$3</formula>
    </cfRule>
    <cfRule type="cellIs" dxfId="1234" priority="1594" operator="equal">
      <formula>$M$2</formula>
    </cfRule>
    <cfRule type="expression" dxfId="1233" priority="1597">
      <formula>C13=""</formula>
    </cfRule>
  </conditionalFormatting>
  <conditionalFormatting sqref="C12">
    <cfRule type="cellIs" dxfId="1232" priority="1590" operator="equal">
      <formula>"error"</formula>
    </cfRule>
  </conditionalFormatting>
  <conditionalFormatting sqref="D12:G12">
    <cfRule type="cellIs" dxfId="1231" priority="1578" operator="equal">
      <formula>"Both"</formula>
    </cfRule>
    <cfRule type="cellIs" dxfId="1230" priority="1579" operator="equal">
      <formula>$M$3</formula>
    </cfRule>
    <cfRule type="cellIs" dxfId="1229" priority="1580" operator="equal">
      <formula>$M$2</formula>
    </cfRule>
    <cfRule type="expression" dxfId="1228" priority="1583">
      <formula>D13=""</formula>
    </cfRule>
  </conditionalFormatting>
  <conditionalFormatting sqref="D12:G12">
    <cfRule type="cellIs" dxfId="1227" priority="1576" operator="equal">
      <formula>"error"</formula>
    </cfRule>
  </conditionalFormatting>
  <conditionalFormatting sqref="C14">
    <cfRule type="cellIs" dxfId="1226" priority="1564" operator="equal">
      <formula>"Both"</formula>
    </cfRule>
    <cfRule type="cellIs" dxfId="1225" priority="1565" operator="equal">
      <formula>$M$3</formula>
    </cfRule>
    <cfRule type="cellIs" dxfId="1224" priority="1566" operator="equal">
      <formula>$M$2</formula>
    </cfRule>
    <cfRule type="expression" dxfId="1223" priority="1569">
      <formula>C15=""</formula>
    </cfRule>
  </conditionalFormatting>
  <conditionalFormatting sqref="C14">
    <cfRule type="cellIs" dxfId="1222" priority="1562" operator="equal">
      <formula>"error"</formula>
    </cfRule>
  </conditionalFormatting>
  <conditionalFormatting sqref="D14:G14">
    <cfRule type="cellIs" dxfId="1221" priority="1550" operator="equal">
      <formula>"Both"</formula>
    </cfRule>
    <cfRule type="cellIs" dxfId="1220" priority="1551" operator="equal">
      <formula>$M$3</formula>
    </cfRule>
    <cfRule type="cellIs" dxfId="1219" priority="1552" operator="equal">
      <formula>$M$2</formula>
    </cfRule>
    <cfRule type="expression" dxfId="1218" priority="1555">
      <formula>D15=""</formula>
    </cfRule>
  </conditionalFormatting>
  <conditionalFormatting sqref="D14:G14">
    <cfRule type="cellIs" dxfId="1217" priority="1548" operator="equal">
      <formula>"error"</formula>
    </cfRule>
  </conditionalFormatting>
  <conditionalFormatting sqref="J6">
    <cfRule type="cellIs" dxfId="1216" priority="1536" operator="equal">
      <formula>"Both"</formula>
    </cfRule>
    <cfRule type="cellIs" dxfId="1215" priority="1537" operator="equal">
      <formula>$M$3</formula>
    </cfRule>
    <cfRule type="cellIs" dxfId="1214" priority="1538" operator="equal">
      <formula>$M$2</formula>
    </cfRule>
    <cfRule type="expression" dxfId="1213" priority="1541">
      <formula>J7=""</formula>
    </cfRule>
  </conditionalFormatting>
  <conditionalFormatting sqref="J6">
    <cfRule type="cellIs" dxfId="1212" priority="1534" operator="equal">
      <formula>"error"</formula>
    </cfRule>
  </conditionalFormatting>
  <conditionalFormatting sqref="K6:N6">
    <cfRule type="cellIs" dxfId="1211" priority="1522" operator="equal">
      <formula>"Both"</formula>
    </cfRule>
    <cfRule type="cellIs" dxfId="1210" priority="1523" operator="equal">
      <formula>$M$3</formula>
    </cfRule>
    <cfRule type="cellIs" dxfId="1209" priority="1524" operator="equal">
      <formula>$M$2</formula>
    </cfRule>
    <cfRule type="expression" dxfId="1208" priority="1527">
      <formula>K7=""</formula>
    </cfRule>
  </conditionalFormatting>
  <conditionalFormatting sqref="K6:N6">
    <cfRule type="cellIs" dxfId="1207" priority="1520" operator="equal">
      <formula>"error"</formula>
    </cfRule>
  </conditionalFormatting>
  <conditionalFormatting sqref="J8">
    <cfRule type="cellIs" dxfId="1206" priority="1508" operator="equal">
      <formula>"Both"</formula>
    </cfRule>
    <cfRule type="cellIs" dxfId="1205" priority="1509" operator="equal">
      <formula>$M$3</formula>
    </cfRule>
    <cfRule type="cellIs" dxfId="1204" priority="1510" operator="equal">
      <formula>$M$2</formula>
    </cfRule>
    <cfRule type="expression" dxfId="1203" priority="1513">
      <formula>J9=""</formula>
    </cfRule>
  </conditionalFormatting>
  <conditionalFormatting sqref="J8">
    <cfRule type="cellIs" dxfId="1202" priority="1506" operator="equal">
      <formula>"error"</formula>
    </cfRule>
  </conditionalFormatting>
  <conditionalFormatting sqref="K8:N8">
    <cfRule type="cellIs" dxfId="1201" priority="1494" operator="equal">
      <formula>"Both"</formula>
    </cfRule>
    <cfRule type="cellIs" dxfId="1200" priority="1495" operator="equal">
      <formula>$M$3</formula>
    </cfRule>
    <cfRule type="cellIs" dxfId="1199" priority="1496" operator="equal">
      <formula>$M$2</formula>
    </cfRule>
    <cfRule type="expression" dxfId="1198" priority="1499">
      <formula>K9=""</formula>
    </cfRule>
  </conditionalFormatting>
  <conditionalFormatting sqref="K8:N8">
    <cfRule type="cellIs" dxfId="1197" priority="1492" operator="equal">
      <formula>"error"</formula>
    </cfRule>
  </conditionalFormatting>
  <conditionalFormatting sqref="J10">
    <cfRule type="cellIs" dxfId="1196" priority="1480" operator="equal">
      <formula>"Both"</formula>
    </cfRule>
    <cfRule type="cellIs" dxfId="1195" priority="1481" operator="equal">
      <formula>$M$3</formula>
    </cfRule>
    <cfRule type="cellIs" dxfId="1194" priority="1482" operator="equal">
      <formula>$M$2</formula>
    </cfRule>
    <cfRule type="expression" dxfId="1193" priority="1485">
      <formula>J11=""</formula>
    </cfRule>
  </conditionalFormatting>
  <conditionalFormatting sqref="J10">
    <cfRule type="cellIs" dxfId="1192" priority="1478" operator="equal">
      <formula>"error"</formula>
    </cfRule>
  </conditionalFormatting>
  <conditionalFormatting sqref="K10:N10">
    <cfRule type="cellIs" dxfId="1191" priority="1466" operator="equal">
      <formula>"Both"</formula>
    </cfRule>
    <cfRule type="cellIs" dxfId="1190" priority="1467" operator="equal">
      <formula>$M$3</formula>
    </cfRule>
    <cfRule type="cellIs" dxfId="1189" priority="1468" operator="equal">
      <formula>$M$2</formula>
    </cfRule>
    <cfRule type="expression" dxfId="1188" priority="1471">
      <formula>K11=""</formula>
    </cfRule>
  </conditionalFormatting>
  <conditionalFormatting sqref="K10:N10">
    <cfRule type="cellIs" dxfId="1187" priority="1464" operator="equal">
      <formula>"error"</formula>
    </cfRule>
  </conditionalFormatting>
  <conditionalFormatting sqref="J12">
    <cfRule type="cellIs" dxfId="1186" priority="1452" operator="equal">
      <formula>"Both"</formula>
    </cfRule>
    <cfRule type="cellIs" dxfId="1185" priority="1453" operator="equal">
      <formula>$M$3</formula>
    </cfRule>
    <cfRule type="cellIs" dxfId="1184" priority="1454" operator="equal">
      <formula>$M$2</formula>
    </cfRule>
    <cfRule type="expression" dxfId="1183" priority="1457">
      <formula>J13=""</formula>
    </cfRule>
  </conditionalFormatting>
  <conditionalFormatting sqref="J12">
    <cfRule type="cellIs" dxfId="1182" priority="1450" operator="equal">
      <formula>"error"</formula>
    </cfRule>
  </conditionalFormatting>
  <conditionalFormatting sqref="K12:N12">
    <cfRule type="cellIs" dxfId="1181" priority="1438" operator="equal">
      <formula>"Both"</formula>
    </cfRule>
    <cfRule type="cellIs" dxfId="1180" priority="1439" operator="equal">
      <formula>$M$3</formula>
    </cfRule>
    <cfRule type="cellIs" dxfId="1179" priority="1440" operator="equal">
      <formula>$M$2</formula>
    </cfRule>
    <cfRule type="expression" dxfId="1178" priority="1443">
      <formula>K13=""</formula>
    </cfRule>
  </conditionalFormatting>
  <conditionalFormatting sqref="K12:N12">
    <cfRule type="cellIs" dxfId="1177" priority="1436" operator="equal">
      <formula>"error"</formula>
    </cfRule>
  </conditionalFormatting>
  <conditionalFormatting sqref="J14">
    <cfRule type="cellIs" dxfId="1176" priority="1424" operator="equal">
      <formula>"Both"</formula>
    </cfRule>
    <cfRule type="cellIs" dxfId="1175" priority="1425" operator="equal">
      <formula>$M$3</formula>
    </cfRule>
    <cfRule type="cellIs" dxfId="1174" priority="1426" operator="equal">
      <formula>$M$2</formula>
    </cfRule>
    <cfRule type="expression" dxfId="1173" priority="1429">
      <formula>J15=""</formula>
    </cfRule>
  </conditionalFormatting>
  <conditionalFormatting sqref="J14">
    <cfRule type="cellIs" dxfId="1172" priority="1422" operator="equal">
      <formula>"error"</formula>
    </cfRule>
  </conditionalFormatting>
  <conditionalFormatting sqref="K14:N14">
    <cfRule type="cellIs" dxfId="1171" priority="1410" operator="equal">
      <formula>"Both"</formula>
    </cfRule>
    <cfRule type="cellIs" dxfId="1170" priority="1411" operator="equal">
      <formula>$M$3</formula>
    </cfRule>
    <cfRule type="cellIs" dxfId="1169" priority="1412" operator="equal">
      <formula>$M$2</formula>
    </cfRule>
    <cfRule type="expression" dxfId="1168" priority="1415">
      <formula>K15=""</formula>
    </cfRule>
  </conditionalFormatting>
  <conditionalFormatting sqref="K14:N14">
    <cfRule type="cellIs" dxfId="1167" priority="1408" operator="equal">
      <formula>"error"</formula>
    </cfRule>
  </conditionalFormatting>
  <conditionalFormatting sqref="Q6">
    <cfRule type="cellIs" dxfId="1166" priority="1396" operator="equal">
      <formula>"Both"</formula>
    </cfRule>
    <cfRule type="cellIs" dxfId="1165" priority="1397" operator="equal">
      <formula>$M$3</formula>
    </cfRule>
    <cfRule type="cellIs" dxfId="1164" priority="1398" operator="equal">
      <formula>$M$2</formula>
    </cfRule>
    <cfRule type="expression" dxfId="1163" priority="1401">
      <formula>Q7=""</formula>
    </cfRule>
  </conditionalFormatting>
  <conditionalFormatting sqref="Q6">
    <cfRule type="cellIs" dxfId="1162" priority="1394" operator="equal">
      <formula>"error"</formula>
    </cfRule>
  </conditionalFormatting>
  <conditionalFormatting sqref="R6:U6">
    <cfRule type="cellIs" dxfId="1161" priority="1382" operator="equal">
      <formula>"Both"</formula>
    </cfRule>
    <cfRule type="cellIs" dxfId="1160" priority="1383" operator="equal">
      <formula>$M$3</formula>
    </cfRule>
    <cfRule type="cellIs" dxfId="1159" priority="1384" operator="equal">
      <formula>$M$2</formula>
    </cfRule>
    <cfRule type="expression" dxfId="1158" priority="1387">
      <formula>R7=""</formula>
    </cfRule>
  </conditionalFormatting>
  <conditionalFormatting sqref="R6:U6">
    <cfRule type="cellIs" dxfId="1157" priority="1380" operator="equal">
      <formula>"error"</formula>
    </cfRule>
  </conditionalFormatting>
  <conditionalFormatting sqref="Q8">
    <cfRule type="cellIs" dxfId="1156" priority="1368" operator="equal">
      <formula>"Both"</formula>
    </cfRule>
    <cfRule type="cellIs" dxfId="1155" priority="1369" operator="equal">
      <formula>$M$3</formula>
    </cfRule>
    <cfRule type="cellIs" dxfId="1154" priority="1370" operator="equal">
      <formula>$M$2</formula>
    </cfRule>
    <cfRule type="expression" dxfId="1153" priority="1373">
      <formula>Q9=""</formula>
    </cfRule>
  </conditionalFormatting>
  <conditionalFormatting sqref="Q8">
    <cfRule type="cellIs" dxfId="1152" priority="1366" operator="equal">
      <formula>"error"</formula>
    </cfRule>
  </conditionalFormatting>
  <conditionalFormatting sqref="R8:U8">
    <cfRule type="cellIs" dxfId="1151" priority="1354" operator="equal">
      <formula>"Both"</formula>
    </cfRule>
    <cfRule type="cellIs" dxfId="1150" priority="1355" operator="equal">
      <formula>$M$3</formula>
    </cfRule>
    <cfRule type="cellIs" dxfId="1149" priority="1356" operator="equal">
      <formula>$M$2</formula>
    </cfRule>
    <cfRule type="expression" dxfId="1148" priority="1359">
      <formula>R9=""</formula>
    </cfRule>
  </conditionalFormatting>
  <conditionalFormatting sqref="R8:U8">
    <cfRule type="cellIs" dxfId="1147" priority="1352" operator="equal">
      <formula>"error"</formula>
    </cfRule>
  </conditionalFormatting>
  <conditionalFormatting sqref="Q10">
    <cfRule type="cellIs" dxfId="1146" priority="1340" operator="equal">
      <formula>"Both"</formula>
    </cfRule>
    <cfRule type="cellIs" dxfId="1145" priority="1341" operator="equal">
      <formula>$M$3</formula>
    </cfRule>
    <cfRule type="cellIs" dxfId="1144" priority="1342" operator="equal">
      <formula>$M$2</formula>
    </cfRule>
    <cfRule type="expression" dxfId="1143" priority="1345">
      <formula>Q11=""</formula>
    </cfRule>
  </conditionalFormatting>
  <conditionalFormatting sqref="Q10">
    <cfRule type="cellIs" dxfId="1142" priority="1338" operator="equal">
      <formula>"error"</formula>
    </cfRule>
  </conditionalFormatting>
  <conditionalFormatting sqref="R10:U10">
    <cfRule type="cellIs" dxfId="1141" priority="1326" operator="equal">
      <formula>"Both"</formula>
    </cfRule>
    <cfRule type="cellIs" dxfId="1140" priority="1327" operator="equal">
      <formula>$M$3</formula>
    </cfRule>
    <cfRule type="cellIs" dxfId="1139" priority="1328" operator="equal">
      <formula>$M$2</formula>
    </cfRule>
    <cfRule type="expression" dxfId="1138" priority="1331">
      <formula>R11=""</formula>
    </cfRule>
  </conditionalFormatting>
  <conditionalFormatting sqref="R10:U10">
    <cfRule type="cellIs" dxfId="1137" priority="1324" operator="equal">
      <formula>"error"</formula>
    </cfRule>
  </conditionalFormatting>
  <conditionalFormatting sqref="Q12">
    <cfRule type="cellIs" dxfId="1136" priority="1312" operator="equal">
      <formula>"Both"</formula>
    </cfRule>
    <cfRule type="cellIs" dxfId="1135" priority="1313" operator="equal">
      <formula>$M$3</formula>
    </cfRule>
    <cfRule type="cellIs" dxfId="1134" priority="1314" operator="equal">
      <formula>$M$2</formula>
    </cfRule>
    <cfRule type="expression" dxfId="1133" priority="1317">
      <formula>Q13=""</formula>
    </cfRule>
  </conditionalFormatting>
  <conditionalFormatting sqref="Q12">
    <cfRule type="cellIs" dxfId="1132" priority="1310" operator="equal">
      <formula>"error"</formula>
    </cfRule>
  </conditionalFormatting>
  <conditionalFormatting sqref="R12:U12">
    <cfRule type="cellIs" dxfId="1131" priority="1298" operator="equal">
      <formula>"Both"</formula>
    </cfRule>
    <cfRule type="cellIs" dxfId="1130" priority="1299" operator="equal">
      <formula>$M$3</formula>
    </cfRule>
    <cfRule type="cellIs" dxfId="1129" priority="1300" operator="equal">
      <formula>$M$2</formula>
    </cfRule>
    <cfRule type="expression" dxfId="1128" priority="1303">
      <formula>R13=""</formula>
    </cfRule>
  </conditionalFormatting>
  <conditionalFormatting sqref="R12:U12">
    <cfRule type="cellIs" dxfId="1127" priority="1296" operator="equal">
      <formula>"error"</formula>
    </cfRule>
  </conditionalFormatting>
  <conditionalFormatting sqref="Q14">
    <cfRule type="cellIs" dxfId="1126" priority="1284" operator="equal">
      <formula>"Both"</formula>
    </cfRule>
    <cfRule type="cellIs" dxfId="1125" priority="1285" operator="equal">
      <formula>$M$3</formula>
    </cfRule>
    <cfRule type="cellIs" dxfId="1124" priority="1286" operator="equal">
      <formula>$M$2</formula>
    </cfRule>
    <cfRule type="expression" dxfId="1123" priority="1289">
      <formula>Q15=""</formula>
    </cfRule>
  </conditionalFormatting>
  <conditionalFormatting sqref="Q14">
    <cfRule type="cellIs" dxfId="1122" priority="1282" operator="equal">
      <formula>"error"</formula>
    </cfRule>
  </conditionalFormatting>
  <conditionalFormatting sqref="R14:U14">
    <cfRule type="cellIs" dxfId="1121" priority="1270" operator="equal">
      <formula>"Both"</formula>
    </cfRule>
    <cfRule type="cellIs" dxfId="1120" priority="1271" operator="equal">
      <formula>$M$3</formula>
    </cfRule>
    <cfRule type="cellIs" dxfId="1119" priority="1272" operator="equal">
      <formula>$M$2</formula>
    </cfRule>
    <cfRule type="expression" dxfId="1118" priority="1275">
      <formula>R15=""</formula>
    </cfRule>
  </conditionalFormatting>
  <conditionalFormatting sqref="R14:U14">
    <cfRule type="cellIs" dxfId="1117" priority="1268" operator="equal">
      <formula>"error"</formula>
    </cfRule>
  </conditionalFormatting>
  <conditionalFormatting sqref="X6">
    <cfRule type="cellIs" dxfId="1116" priority="1256" operator="equal">
      <formula>"Both"</formula>
    </cfRule>
    <cfRule type="cellIs" dxfId="1115" priority="1257" operator="equal">
      <formula>$M$3</formula>
    </cfRule>
    <cfRule type="cellIs" dxfId="1114" priority="1258" operator="equal">
      <formula>$M$2</formula>
    </cfRule>
    <cfRule type="expression" dxfId="1113" priority="1261">
      <formula>X7=""</formula>
    </cfRule>
  </conditionalFormatting>
  <conditionalFormatting sqref="X6">
    <cfRule type="cellIs" dxfId="1112" priority="1254" operator="equal">
      <formula>"error"</formula>
    </cfRule>
  </conditionalFormatting>
  <conditionalFormatting sqref="Y6:AB6">
    <cfRule type="cellIs" dxfId="1111" priority="1242" operator="equal">
      <formula>"Both"</formula>
    </cfRule>
    <cfRule type="cellIs" dxfId="1110" priority="1243" operator="equal">
      <formula>$M$3</formula>
    </cfRule>
    <cfRule type="cellIs" dxfId="1109" priority="1244" operator="equal">
      <formula>$M$2</formula>
    </cfRule>
    <cfRule type="expression" dxfId="1108" priority="1247">
      <formula>Y7=""</formula>
    </cfRule>
  </conditionalFormatting>
  <conditionalFormatting sqref="Y6:AB6">
    <cfRule type="cellIs" dxfId="1107" priority="1240" operator="equal">
      <formula>"error"</formula>
    </cfRule>
  </conditionalFormatting>
  <conditionalFormatting sqref="X8">
    <cfRule type="cellIs" dxfId="1106" priority="1228" operator="equal">
      <formula>"Both"</formula>
    </cfRule>
    <cfRule type="cellIs" dxfId="1105" priority="1229" operator="equal">
      <formula>$M$3</formula>
    </cfRule>
    <cfRule type="cellIs" dxfId="1104" priority="1230" operator="equal">
      <formula>$M$2</formula>
    </cfRule>
    <cfRule type="expression" dxfId="1103" priority="1233">
      <formula>X9=""</formula>
    </cfRule>
  </conditionalFormatting>
  <conditionalFormatting sqref="X8">
    <cfRule type="cellIs" dxfId="1102" priority="1226" operator="equal">
      <formula>"error"</formula>
    </cfRule>
  </conditionalFormatting>
  <conditionalFormatting sqref="Y8:AB8">
    <cfRule type="cellIs" dxfId="1101" priority="1214" operator="equal">
      <formula>"Both"</formula>
    </cfRule>
    <cfRule type="cellIs" dxfId="1100" priority="1215" operator="equal">
      <formula>$M$3</formula>
    </cfRule>
    <cfRule type="cellIs" dxfId="1099" priority="1216" operator="equal">
      <formula>$M$2</formula>
    </cfRule>
    <cfRule type="expression" dxfId="1098" priority="1219">
      <formula>Y9=""</formula>
    </cfRule>
  </conditionalFormatting>
  <conditionalFormatting sqref="Y8:AB8">
    <cfRule type="cellIs" dxfId="1097" priority="1212" operator="equal">
      <formula>"error"</formula>
    </cfRule>
  </conditionalFormatting>
  <conditionalFormatting sqref="X10">
    <cfRule type="cellIs" dxfId="1096" priority="1200" operator="equal">
      <formula>"Both"</formula>
    </cfRule>
    <cfRule type="cellIs" dxfId="1095" priority="1201" operator="equal">
      <formula>$M$3</formula>
    </cfRule>
    <cfRule type="cellIs" dxfId="1094" priority="1202" operator="equal">
      <formula>$M$2</formula>
    </cfRule>
    <cfRule type="expression" dxfId="1093" priority="1205">
      <formula>X11=""</formula>
    </cfRule>
  </conditionalFormatting>
  <conditionalFormatting sqref="X10">
    <cfRule type="cellIs" dxfId="1092" priority="1198" operator="equal">
      <formula>"error"</formula>
    </cfRule>
  </conditionalFormatting>
  <conditionalFormatting sqref="Y10:AB10">
    <cfRule type="cellIs" dxfId="1091" priority="1186" operator="equal">
      <formula>"Both"</formula>
    </cfRule>
    <cfRule type="cellIs" dxfId="1090" priority="1187" operator="equal">
      <formula>$M$3</formula>
    </cfRule>
    <cfRule type="cellIs" dxfId="1089" priority="1188" operator="equal">
      <formula>$M$2</formula>
    </cfRule>
    <cfRule type="expression" dxfId="1088" priority="1191">
      <formula>Y11=""</formula>
    </cfRule>
  </conditionalFormatting>
  <conditionalFormatting sqref="Y10:AB10">
    <cfRule type="cellIs" dxfId="1087" priority="1184" operator="equal">
      <formula>"error"</formula>
    </cfRule>
  </conditionalFormatting>
  <conditionalFormatting sqref="X12">
    <cfRule type="cellIs" dxfId="1086" priority="1172" operator="equal">
      <formula>"Both"</formula>
    </cfRule>
    <cfRule type="cellIs" dxfId="1085" priority="1173" operator="equal">
      <formula>$M$3</formula>
    </cfRule>
    <cfRule type="cellIs" dxfId="1084" priority="1174" operator="equal">
      <formula>$M$2</formula>
    </cfRule>
    <cfRule type="expression" dxfId="1083" priority="1177">
      <formula>X13=""</formula>
    </cfRule>
  </conditionalFormatting>
  <conditionalFormatting sqref="X12">
    <cfRule type="cellIs" dxfId="1082" priority="1170" operator="equal">
      <formula>"error"</formula>
    </cfRule>
  </conditionalFormatting>
  <conditionalFormatting sqref="Y12:AB12">
    <cfRule type="cellIs" dxfId="1081" priority="1158" operator="equal">
      <formula>"Both"</formula>
    </cfRule>
    <cfRule type="cellIs" dxfId="1080" priority="1159" operator="equal">
      <formula>$M$3</formula>
    </cfRule>
    <cfRule type="cellIs" dxfId="1079" priority="1160" operator="equal">
      <formula>$M$2</formula>
    </cfRule>
    <cfRule type="expression" dxfId="1078" priority="1163">
      <formula>Y13=""</formula>
    </cfRule>
  </conditionalFormatting>
  <conditionalFormatting sqref="Y12:AB12">
    <cfRule type="cellIs" dxfId="1077" priority="1156" operator="equal">
      <formula>"error"</formula>
    </cfRule>
  </conditionalFormatting>
  <conditionalFormatting sqref="X14">
    <cfRule type="cellIs" dxfId="1076" priority="1144" operator="equal">
      <formula>"Both"</formula>
    </cfRule>
    <cfRule type="cellIs" dxfId="1075" priority="1145" operator="equal">
      <formula>$M$3</formula>
    </cfRule>
    <cfRule type="cellIs" dxfId="1074" priority="1146" operator="equal">
      <formula>$M$2</formula>
    </cfRule>
    <cfRule type="expression" dxfId="1073" priority="1149">
      <formula>X15=""</formula>
    </cfRule>
  </conditionalFormatting>
  <conditionalFormatting sqref="X14">
    <cfRule type="cellIs" dxfId="1072" priority="1142" operator="equal">
      <formula>"error"</formula>
    </cfRule>
  </conditionalFormatting>
  <conditionalFormatting sqref="Y14:AB14">
    <cfRule type="cellIs" dxfId="1071" priority="1130" operator="equal">
      <formula>"Both"</formula>
    </cfRule>
    <cfRule type="cellIs" dxfId="1070" priority="1131" operator="equal">
      <formula>$M$3</formula>
    </cfRule>
    <cfRule type="cellIs" dxfId="1069" priority="1132" operator="equal">
      <formula>$M$2</formula>
    </cfRule>
    <cfRule type="expression" dxfId="1068" priority="1135">
      <formula>Y15=""</formula>
    </cfRule>
  </conditionalFormatting>
  <conditionalFormatting sqref="Y14:AB14">
    <cfRule type="cellIs" dxfId="1067" priority="1128" operator="equal">
      <formula>"error"</formula>
    </cfRule>
  </conditionalFormatting>
  <conditionalFormatting sqref="C17">
    <cfRule type="cellIs" dxfId="1066" priority="1116" operator="equal">
      <formula>"Both"</formula>
    </cfRule>
    <cfRule type="cellIs" dxfId="1065" priority="1117" operator="equal">
      <formula>$M$3</formula>
    </cfRule>
    <cfRule type="cellIs" dxfId="1064" priority="1118" operator="equal">
      <formula>$M$2</formula>
    </cfRule>
    <cfRule type="expression" dxfId="1063" priority="1121">
      <formula>C18=""</formula>
    </cfRule>
  </conditionalFormatting>
  <conditionalFormatting sqref="C17">
    <cfRule type="cellIs" dxfId="1062" priority="1114" operator="equal">
      <formula>"error"</formula>
    </cfRule>
  </conditionalFormatting>
  <conditionalFormatting sqref="D17:G17">
    <cfRule type="cellIs" dxfId="1061" priority="1102" operator="equal">
      <formula>"Both"</formula>
    </cfRule>
    <cfRule type="cellIs" dxfId="1060" priority="1103" operator="equal">
      <formula>$M$3</formula>
    </cfRule>
    <cfRule type="cellIs" dxfId="1059" priority="1104" operator="equal">
      <formula>$M$2</formula>
    </cfRule>
    <cfRule type="expression" dxfId="1058" priority="1107">
      <formula>D18=""</formula>
    </cfRule>
  </conditionalFormatting>
  <conditionalFormatting sqref="D17:G17">
    <cfRule type="cellIs" dxfId="1057" priority="1100" operator="equal">
      <formula>"error"</formula>
    </cfRule>
  </conditionalFormatting>
  <conditionalFormatting sqref="C19">
    <cfRule type="cellIs" dxfId="1056" priority="1088" operator="equal">
      <formula>"Both"</formula>
    </cfRule>
    <cfRule type="cellIs" dxfId="1055" priority="1089" operator="equal">
      <formula>$M$3</formula>
    </cfRule>
    <cfRule type="cellIs" dxfId="1054" priority="1090" operator="equal">
      <formula>$M$2</formula>
    </cfRule>
    <cfRule type="expression" dxfId="1053" priority="1093">
      <formula>C20=""</formula>
    </cfRule>
  </conditionalFormatting>
  <conditionalFormatting sqref="C19">
    <cfRule type="cellIs" dxfId="1052" priority="1086" operator="equal">
      <formula>"error"</formula>
    </cfRule>
  </conditionalFormatting>
  <conditionalFormatting sqref="D19:G19">
    <cfRule type="cellIs" dxfId="1051" priority="1074" operator="equal">
      <formula>"Both"</formula>
    </cfRule>
    <cfRule type="cellIs" dxfId="1050" priority="1075" operator="equal">
      <formula>$M$3</formula>
    </cfRule>
    <cfRule type="cellIs" dxfId="1049" priority="1076" operator="equal">
      <formula>$M$2</formula>
    </cfRule>
    <cfRule type="expression" dxfId="1048" priority="1079">
      <formula>D20=""</formula>
    </cfRule>
  </conditionalFormatting>
  <conditionalFormatting sqref="D19:G19">
    <cfRule type="cellIs" dxfId="1047" priority="1072" operator="equal">
      <formula>"error"</formula>
    </cfRule>
  </conditionalFormatting>
  <conditionalFormatting sqref="C21">
    <cfRule type="cellIs" dxfId="1046" priority="1060" operator="equal">
      <formula>"Both"</formula>
    </cfRule>
    <cfRule type="cellIs" dxfId="1045" priority="1061" operator="equal">
      <formula>$M$3</formula>
    </cfRule>
    <cfRule type="cellIs" dxfId="1044" priority="1062" operator="equal">
      <formula>$M$2</formula>
    </cfRule>
    <cfRule type="expression" dxfId="1043" priority="1065">
      <formula>C22=""</formula>
    </cfRule>
  </conditionalFormatting>
  <conditionalFormatting sqref="C21">
    <cfRule type="cellIs" dxfId="1042" priority="1058" operator="equal">
      <formula>"error"</formula>
    </cfRule>
  </conditionalFormatting>
  <conditionalFormatting sqref="D21:G21">
    <cfRule type="cellIs" dxfId="1041" priority="1046" operator="equal">
      <formula>"Both"</formula>
    </cfRule>
    <cfRule type="cellIs" dxfId="1040" priority="1047" operator="equal">
      <formula>$M$3</formula>
    </cfRule>
    <cfRule type="cellIs" dxfId="1039" priority="1048" operator="equal">
      <formula>$M$2</formula>
    </cfRule>
    <cfRule type="expression" dxfId="1038" priority="1051">
      <formula>D22=""</formula>
    </cfRule>
  </conditionalFormatting>
  <conditionalFormatting sqref="D21:G21">
    <cfRule type="cellIs" dxfId="1037" priority="1044" operator="equal">
      <formula>"error"</formula>
    </cfRule>
  </conditionalFormatting>
  <conditionalFormatting sqref="C23">
    <cfRule type="cellIs" dxfId="1036" priority="1032" operator="equal">
      <formula>"Both"</formula>
    </cfRule>
    <cfRule type="cellIs" dxfId="1035" priority="1033" operator="equal">
      <formula>$M$3</formula>
    </cfRule>
    <cfRule type="cellIs" dxfId="1034" priority="1034" operator="equal">
      <formula>$M$2</formula>
    </cfRule>
    <cfRule type="expression" dxfId="1033" priority="1037">
      <formula>C24=""</formula>
    </cfRule>
  </conditionalFormatting>
  <conditionalFormatting sqref="C23">
    <cfRule type="cellIs" dxfId="1032" priority="1030" operator="equal">
      <formula>"error"</formula>
    </cfRule>
  </conditionalFormatting>
  <conditionalFormatting sqref="D23:G23">
    <cfRule type="cellIs" dxfId="1031" priority="1018" operator="equal">
      <formula>"Both"</formula>
    </cfRule>
    <cfRule type="cellIs" dxfId="1030" priority="1019" operator="equal">
      <formula>$M$3</formula>
    </cfRule>
    <cfRule type="cellIs" dxfId="1029" priority="1020" operator="equal">
      <formula>$M$2</formula>
    </cfRule>
    <cfRule type="expression" dxfId="1028" priority="1023">
      <formula>D24=""</formula>
    </cfRule>
  </conditionalFormatting>
  <conditionalFormatting sqref="D23:G23">
    <cfRule type="cellIs" dxfId="1027" priority="1016" operator="equal">
      <formula>"error"</formula>
    </cfRule>
  </conditionalFormatting>
  <conditionalFormatting sqref="C25">
    <cfRule type="cellIs" dxfId="1026" priority="1004" operator="equal">
      <formula>"Both"</formula>
    </cfRule>
    <cfRule type="cellIs" dxfId="1025" priority="1005" operator="equal">
      <formula>$M$3</formula>
    </cfRule>
    <cfRule type="cellIs" dxfId="1024" priority="1006" operator="equal">
      <formula>$M$2</formula>
    </cfRule>
    <cfRule type="expression" dxfId="1023" priority="1009">
      <formula>C26=""</formula>
    </cfRule>
  </conditionalFormatting>
  <conditionalFormatting sqref="C25">
    <cfRule type="cellIs" dxfId="1022" priority="1002" operator="equal">
      <formula>"error"</formula>
    </cfRule>
  </conditionalFormatting>
  <conditionalFormatting sqref="D25:G25">
    <cfRule type="cellIs" dxfId="1021" priority="990" operator="equal">
      <formula>"Both"</formula>
    </cfRule>
    <cfRule type="cellIs" dxfId="1020" priority="991" operator="equal">
      <formula>$M$3</formula>
    </cfRule>
    <cfRule type="cellIs" dxfId="1019" priority="992" operator="equal">
      <formula>$M$2</formula>
    </cfRule>
    <cfRule type="expression" dxfId="1018" priority="995">
      <formula>D26=""</formula>
    </cfRule>
  </conditionalFormatting>
  <conditionalFormatting sqref="D25:G25">
    <cfRule type="cellIs" dxfId="1017" priority="988" operator="equal">
      <formula>"error"</formula>
    </cfRule>
  </conditionalFormatting>
  <conditionalFormatting sqref="J17">
    <cfRule type="cellIs" dxfId="1016" priority="976" operator="equal">
      <formula>"Both"</formula>
    </cfRule>
    <cfRule type="cellIs" dxfId="1015" priority="977" operator="equal">
      <formula>$M$3</formula>
    </cfRule>
    <cfRule type="cellIs" dxfId="1014" priority="978" operator="equal">
      <formula>$M$2</formula>
    </cfRule>
    <cfRule type="expression" dxfId="1013" priority="981">
      <formula>J18=""</formula>
    </cfRule>
  </conditionalFormatting>
  <conditionalFormatting sqref="J17">
    <cfRule type="cellIs" dxfId="1012" priority="974" operator="equal">
      <formula>"error"</formula>
    </cfRule>
  </conditionalFormatting>
  <conditionalFormatting sqref="K17:N17">
    <cfRule type="cellIs" dxfId="1011" priority="962" operator="equal">
      <formula>"Both"</formula>
    </cfRule>
    <cfRule type="cellIs" dxfId="1010" priority="963" operator="equal">
      <formula>$M$3</formula>
    </cfRule>
    <cfRule type="cellIs" dxfId="1009" priority="964" operator="equal">
      <formula>$M$2</formula>
    </cfRule>
    <cfRule type="expression" dxfId="1008" priority="967">
      <formula>K18=""</formula>
    </cfRule>
  </conditionalFormatting>
  <conditionalFormatting sqref="K17:N17">
    <cfRule type="cellIs" dxfId="1007" priority="960" operator="equal">
      <formula>"error"</formula>
    </cfRule>
  </conditionalFormatting>
  <conditionalFormatting sqref="J19">
    <cfRule type="cellIs" dxfId="1006" priority="948" operator="equal">
      <formula>"Both"</formula>
    </cfRule>
    <cfRule type="cellIs" dxfId="1005" priority="949" operator="equal">
      <formula>$M$3</formula>
    </cfRule>
    <cfRule type="cellIs" dxfId="1004" priority="950" operator="equal">
      <formula>$M$2</formula>
    </cfRule>
    <cfRule type="expression" dxfId="1003" priority="953">
      <formula>J20=""</formula>
    </cfRule>
  </conditionalFormatting>
  <conditionalFormatting sqref="J19">
    <cfRule type="cellIs" dxfId="1002" priority="946" operator="equal">
      <formula>"error"</formula>
    </cfRule>
  </conditionalFormatting>
  <conditionalFormatting sqref="K19:N19">
    <cfRule type="cellIs" dxfId="1001" priority="934" operator="equal">
      <formula>"Both"</formula>
    </cfRule>
    <cfRule type="cellIs" dxfId="1000" priority="935" operator="equal">
      <formula>$M$3</formula>
    </cfRule>
    <cfRule type="cellIs" dxfId="999" priority="936" operator="equal">
      <formula>$M$2</formula>
    </cfRule>
    <cfRule type="expression" dxfId="998" priority="939">
      <formula>K20=""</formula>
    </cfRule>
  </conditionalFormatting>
  <conditionalFormatting sqref="K19:N19">
    <cfRule type="cellIs" dxfId="997" priority="932" operator="equal">
      <formula>"error"</formula>
    </cfRule>
  </conditionalFormatting>
  <conditionalFormatting sqref="J21">
    <cfRule type="cellIs" dxfId="996" priority="920" operator="equal">
      <formula>"Both"</formula>
    </cfRule>
    <cfRule type="cellIs" dxfId="995" priority="921" operator="equal">
      <formula>$M$3</formula>
    </cfRule>
    <cfRule type="cellIs" dxfId="994" priority="922" operator="equal">
      <formula>$M$2</formula>
    </cfRule>
    <cfRule type="expression" dxfId="993" priority="925">
      <formula>J22=""</formula>
    </cfRule>
  </conditionalFormatting>
  <conditionalFormatting sqref="J21">
    <cfRule type="cellIs" dxfId="992" priority="918" operator="equal">
      <formula>"error"</formula>
    </cfRule>
  </conditionalFormatting>
  <conditionalFormatting sqref="K21:N21">
    <cfRule type="cellIs" dxfId="991" priority="906" operator="equal">
      <formula>"Both"</formula>
    </cfRule>
    <cfRule type="cellIs" dxfId="990" priority="907" operator="equal">
      <formula>$M$3</formula>
    </cfRule>
    <cfRule type="cellIs" dxfId="989" priority="908" operator="equal">
      <formula>$M$2</formula>
    </cfRule>
    <cfRule type="expression" dxfId="988" priority="911">
      <formula>K22=""</formula>
    </cfRule>
  </conditionalFormatting>
  <conditionalFormatting sqref="K21:N21">
    <cfRule type="cellIs" dxfId="987" priority="904" operator="equal">
      <formula>"error"</formula>
    </cfRule>
  </conditionalFormatting>
  <conditionalFormatting sqref="J23">
    <cfRule type="cellIs" dxfId="986" priority="892" operator="equal">
      <formula>"Both"</formula>
    </cfRule>
    <cfRule type="cellIs" dxfId="985" priority="893" operator="equal">
      <formula>$M$3</formula>
    </cfRule>
    <cfRule type="cellIs" dxfId="984" priority="894" operator="equal">
      <formula>$M$2</formula>
    </cfRule>
    <cfRule type="expression" dxfId="983" priority="897">
      <formula>J24=""</formula>
    </cfRule>
  </conditionalFormatting>
  <conditionalFormatting sqref="J23">
    <cfRule type="cellIs" dxfId="982" priority="890" operator="equal">
      <formula>"error"</formula>
    </cfRule>
  </conditionalFormatting>
  <conditionalFormatting sqref="K23:N23">
    <cfRule type="cellIs" dxfId="981" priority="878" operator="equal">
      <formula>"Both"</formula>
    </cfRule>
    <cfRule type="cellIs" dxfId="980" priority="879" operator="equal">
      <formula>$M$3</formula>
    </cfRule>
    <cfRule type="cellIs" dxfId="979" priority="880" operator="equal">
      <formula>$M$2</formula>
    </cfRule>
    <cfRule type="expression" dxfId="978" priority="883">
      <formula>K24=""</formula>
    </cfRule>
  </conditionalFormatting>
  <conditionalFormatting sqref="K23:N23">
    <cfRule type="cellIs" dxfId="977" priority="876" operator="equal">
      <formula>"error"</formula>
    </cfRule>
  </conditionalFormatting>
  <conditionalFormatting sqref="J25">
    <cfRule type="cellIs" dxfId="976" priority="864" operator="equal">
      <formula>"Both"</formula>
    </cfRule>
    <cfRule type="cellIs" dxfId="975" priority="865" operator="equal">
      <formula>$M$3</formula>
    </cfRule>
    <cfRule type="cellIs" dxfId="974" priority="866" operator="equal">
      <formula>$M$2</formula>
    </cfRule>
    <cfRule type="expression" dxfId="973" priority="869">
      <formula>J26=""</formula>
    </cfRule>
  </conditionalFormatting>
  <conditionalFormatting sqref="J25">
    <cfRule type="cellIs" dxfId="972" priority="862" operator="equal">
      <formula>"error"</formula>
    </cfRule>
  </conditionalFormatting>
  <conditionalFormatting sqref="K25:N25">
    <cfRule type="cellIs" dxfId="971" priority="850" operator="equal">
      <formula>"Both"</formula>
    </cfRule>
    <cfRule type="cellIs" dxfId="970" priority="851" operator="equal">
      <formula>$M$3</formula>
    </cfRule>
    <cfRule type="cellIs" dxfId="969" priority="852" operator="equal">
      <formula>$M$2</formula>
    </cfRule>
    <cfRule type="expression" dxfId="968" priority="855">
      <formula>K26=""</formula>
    </cfRule>
  </conditionalFormatting>
  <conditionalFormatting sqref="K25:N25">
    <cfRule type="cellIs" dxfId="967" priority="848" operator="equal">
      <formula>"error"</formula>
    </cfRule>
  </conditionalFormatting>
  <conditionalFormatting sqref="Q17">
    <cfRule type="cellIs" dxfId="966" priority="836" operator="equal">
      <formula>"Both"</formula>
    </cfRule>
    <cfRule type="cellIs" dxfId="965" priority="837" operator="equal">
      <formula>$M$3</formula>
    </cfRule>
    <cfRule type="cellIs" dxfId="964" priority="838" operator="equal">
      <formula>$M$2</formula>
    </cfRule>
    <cfRule type="expression" dxfId="963" priority="841">
      <formula>Q18=""</formula>
    </cfRule>
  </conditionalFormatting>
  <conditionalFormatting sqref="Q17">
    <cfRule type="cellIs" dxfId="962" priority="834" operator="equal">
      <formula>"error"</formula>
    </cfRule>
  </conditionalFormatting>
  <conditionalFormatting sqref="R17:U17">
    <cfRule type="cellIs" dxfId="961" priority="822" operator="equal">
      <formula>"Both"</formula>
    </cfRule>
    <cfRule type="cellIs" dxfId="960" priority="823" operator="equal">
      <formula>$M$3</formula>
    </cfRule>
    <cfRule type="cellIs" dxfId="959" priority="824" operator="equal">
      <formula>$M$2</formula>
    </cfRule>
    <cfRule type="expression" dxfId="958" priority="827">
      <formula>R18=""</formula>
    </cfRule>
  </conditionalFormatting>
  <conditionalFormatting sqref="R17:U17">
    <cfRule type="cellIs" dxfId="957" priority="820" operator="equal">
      <formula>"error"</formula>
    </cfRule>
  </conditionalFormatting>
  <conditionalFormatting sqref="Q19">
    <cfRule type="cellIs" dxfId="956" priority="808" operator="equal">
      <formula>"Both"</formula>
    </cfRule>
    <cfRule type="cellIs" dxfId="955" priority="809" operator="equal">
      <formula>$M$3</formula>
    </cfRule>
    <cfRule type="cellIs" dxfId="954" priority="810" operator="equal">
      <formula>$M$2</formula>
    </cfRule>
    <cfRule type="expression" dxfId="953" priority="813">
      <formula>Q20=""</formula>
    </cfRule>
  </conditionalFormatting>
  <conditionalFormatting sqref="Q19">
    <cfRule type="cellIs" dxfId="952" priority="806" operator="equal">
      <formula>"error"</formula>
    </cfRule>
  </conditionalFormatting>
  <conditionalFormatting sqref="R19:U19">
    <cfRule type="cellIs" dxfId="951" priority="794" operator="equal">
      <formula>"Both"</formula>
    </cfRule>
    <cfRule type="cellIs" dxfId="950" priority="795" operator="equal">
      <formula>$M$3</formula>
    </cfRule>
    <cfRule type="cellIs" dxfId="949" priority="796" operator="equal">
      <formula>$M$2</formula>
    </cfRule>
    <cfRule type="expression" dxfId="948" priority="799">
      <formula>R20=""</formula>
    </cfRule>
  </conditionalFormatting>
  <conditionalFormatting sqref="R19:U19">
    <cfRule type="cellIs" dxfId="947" priority="792" operator="equal">
      <formula>"error"</formula>
    </cfRule>
  </conditionalFormatting>
  <conditionalFormatting sqref="Q21">
    <cfRule type="cellIs" dxfId="946" priority="780" operator="equal">
      <formula>"Both"</formula>
    </cfRule>
    <cfRule type="cellIs" dxfId="945" priority="781" operator="equal">
      <formula>$M$3</formula>
    </cfRule>
    <cfRule type="cellIs" dxfId="944" priority="782" operator="equal">
      <formula>$M$2</formula>
    </cfRule>
    <cfRule type="expression" dxfId="943" priority="785">
      <formula>Q22=""</formula>
    </cfRule>
  </conditionalFormatting>
  <conditionalFormatting sqref="Q21">
    <cfRule type="cellIs" dxfId="942" priority="778" operator="equal">
      <formula>"error"</formula>
    </cfRule>
  </conditionalFormatting>
  <conditionalFormatting sqref="R21:U21">
    <cfRule type="cellIs" dxfId="941" priority="766" operator="equal">
      <formula>"Both"</formula>
    </cfRule>
    <cfRule type="cellIs" dxfId="940" priority="767" operator="equal">
      <formula>$M$3</formula>
    </cfRule>
    <cfRule type="cellIs" dxfId="939" priority="768" operator="equal">
      <formula>$M$2</formula>
    </cfRule>
    <cfRule type="expression" dxfId="938" priority="771">
      <formula>R22=""</formula>
    </cfRule>
  </conditionalFormatting>
  <conditionalFormatting sqref="R21:U21">
    <cfRule type="cellIs" dxfId="937" priority="764" operator="equal">
      <formula>"error"</formula>
    </cfRule>
  </conditionalFormatting>
  <conditionalFormatting sqref="Q23">
    <cfRule type="cellIs" dxfId="936" priority="752" operator="equal">
      <formula>"Both"</formula>
    </cfRule>
    <cfRule type="cellIs" dxfId="935" priority="753" operator="equal">
      <formula>$M$3</formula>
    </cfRule>
    <cfRule type="cellIs" dxfId="934" priority="754" operator="equal">
      <formula>$M$2</formula>
    </cfRule>
    <cfRule type="expression" dxfId="933" priority="757">
      <formula>Q24=""</formula>
    </cfRule>
  </conditionalFormatting>
  <conditionalFormatting sqref="Q23">
    <cfRule type="cellIs" dxfId="932" priority="750" operator="equal">
      <formula>"error"</formula>
    </cfRule>
  </conditionalFormatting>
  <conditionalFormatting sqref="R23:U23">
    <cfRule type="cellIs" dxfId="931" priority="738" operator="equal">
      <formula>"Both"</formula>
    </cfRule>
    <cfRule type="cellIs" dxfId="930" priority="739" operator="equal">
      <formula>$M$3</formula>
    </cfRule>
    <cfRule type="cellIs" dxfId="929" priority="740" operator="equal">
      <formula>$M$2</formula>
    </cfRule>
    <cfRule type="expression" dxfId="928" priority="743">
      <formula>R24=""</formula>
    </cfRule>
  </conditionalFormatting>
  <conditionalFormatting sqref="R23:U23">
    <cfRule type="cellIs" dxfId="927" priority="736" operator="equal">
      <formula>"error"</formula>
    </cfRule>
  </conditionalFormatting>
  <conditionalFormatting sqref="Q25">
    <cfRule type="cellIs" dxfId="926" priority="724" operator="equal">
      <formula>"Both"</formula>
    </cfRule>
    <cfRule type="cellIs" dxfId="925" priority="725" operator="equal">
      <formula>$M$3</formula>
    </cfRule>
    <cfRule type="cellIs" dxfId="924" priority="726" operator="equal">
      <formula>$M$2</formula>
    </cfRule>
    <cfRule type="expression" dxfId="923" priority="729">
      <formula>Q26=""</formula>
    </cfRule>
  </conditionalFormatting>
  <conditionalFormatting sqref="Q25">
    <cfRule type="cellIs" dxfId="922" priority="722" operator="equal">
      <formula>"error"</formula>
    </cfRule>
  </conditionalFormatting>
  <conditionalFormatting sqref="R25:U25">
    <cfRule type="cellIs" dxfId="921" priority="710" operator="equal">
      <formula>"Both"</formula>
    </cfRule>
    <cfRule type="cellIs" dxfId="920" priority="711" operator="equal">
      <formula>$M$3</formula>
    </cfRule>
    <cfRule type="cellIs" dxfId="919" priority="712" operator="equal">
      <formula>$M$2</formula>
    </cfRule>
    <cfRule type="expression" dxfId="918" priority="715">
      <formula>R26=""</formula>
    </cfRule>
  </conditionalFormatting>
  <conditionalFormatting sqref="R25:U25">
    <cfRule type="cellIs" dxfId="917" priority="708" operator="equal">
      <formula>"error"</formula>
    </cfRule>
  </conditionalFormatting>
  <conditionalFormatting sqref="X17">
    <cfRule type="cellIs" dxfId="916" priority="696" operator="equal">
      <formula>"Both"</formula>
    </cfRule>
    <cfRule type="cellIs" dxfId="915" priority="697" operator="equal">
      <formula>$M$3</formula>
    </cfRule>
    <cfRule type="cellIs" dxfId="914" priority="698" operator="equal">
      <formula>$M$2</formula>
    </cfRule>
    <cfRule type="expression" dxfId="913" priority="701">
      <formula>X18=""</formula>
    </cfRule>
  </conditionalFormatting>
  <conditionalFormatting sqref="X17">
    <cfRule type="cellIs" dxfId="912" priority="694" operator="equal">
      <formula>"error"</formula>
    </cfRule>
  </conditionalFormatting>
  <conditionalFormatting sqref="Y17:AB17">
    <cfRule type="cellIs" dxfId="911" priority="682" operator="equal">
      <formula>"Both"</formula>
    </cfRule>
    <cfRule type="cellIs" dxfId="910" priority="683" operator="equal">
      <formula>$M$3</formula>
    </cfRule>
    <cfRule type="cellIs" dxfId="909" priority="684" operator="equal">
      <formula>$M$2</formula>
    </cfRule>
    <cfRule type="expression" dxfId="908" priority="687">
      <formula>Y18=""</formula>
    </cfRule>
  </conditionalFormatting>
  <conditionalFormatting sqref="Y17:AB17">
    <cfRule type="cellIs" dxfId="907" priority="680" operator="equal">
      <formula>"error"</formula>
    </cfRule>
  </conditionalFormatting>
  <conditionalFormatting sqref="X19">
    <cfRule type="cellIs" dxfId="906" priority="668" operator="equal">
      <formula>"Both"</formula>
    </cfRule>
    <cfRule type="cellIs" dxfId="905" priority="669" operator="equal">
      <formula>$M$3</formula>
    </cfRule>
    <cfRule type="cellIs" dxfId="904" priority="670" operator="equal">
      <formula>$M$2</formula>
    </cfRule>
    <cfRule type="expression" dxfId="903" priority="673">
      <formula>X20=""</formula>
    </cfRule>
  </conditionalFormatting>
  <conditionalFormatting sqref="X19">
    <cfRule type="cellIs" dxfId="902" priority="666" operator="equal">
      <formula>"error"</formula>
    </cfRule>
  </conditionalFormatting>
  <conditionalFormatting sqref="Y19:AB19">
    <cfRule type="cellIs" dxfId="901" priority="654" operator="equal">
      <formula>"Both"</formula>
    </cfRule>
    <cfRule type="cellIs" dxfId="900" priority="655" operator="equal">
      <formula>$M$3</formula>
    </cfRule>
    <cfRule type="cellIs" dxfId="899" priority="656" operator="equal">
      <formula>$M$2</formula>
    </cfRule>
    <cfRule type="expression" dxfId="898" priority="659">
      <formula>Y20=""</formula>
    </cfRule>
  </conditionalFormatting>
  <conditionalFormatting sqref="Y19:AB19">
    <cfRule type="cellIs" dxfId="897" priority="652" operator="equal">
      <formula>"error"</formula>
    </cfRule>
  </conditionalFormatting>
  <conditionalFormatting sqref="X21">
    <cfRule type="cellIs" dxfId="896" priority="640" operator="equal">
      <formula>"Both"</formula>
    </cfRule>
    <cfRule type="cellIs" dxfId="895" priority="641" operator="equal">
      <formula>$M$3</formula>
    </cfRule>
    <cfRule type="cellIs" dxfId="894" priority="642" operator="equal">
      <formula>$M$2</formula>
    </cfRule>
    <cfRule type="expression" dxfId="893" priority="645">
      <formula>X22=""</formula>
    </cfRule>
  </conditionalFormatting>
  <conditionalFormatting sqref="X21">
    <cfRule type="cellIs" dxfId="892" priority="638" operator="equal">
      <formula>"error"</formula>
    </cfRule>
  </conditionalFormatting>
  <conditionalFormatting sqref="Y21:AB21">
    <cfRule type="cellIs" dxfId="891" priority="626" operator="equal">
      <formula>"Both"</formula>
    </cfRule>
    <cfRule type="cellIs" dxfId="890" priority="627" operator="equal">
      <formula>$M$3</formula>
    </cfRule>
    <cfRule type="cellIs" dxfId="889" priority="628" operator="equal">
      <formula>$M$2</formula>
    </cfRule>
    <cfRule type="expression" dxfId="888" priority="631">
      <formula>Y22=""</formula>
    </cfRule>
  </conditionalFormatting>
  <conditionalFormatting sqref="Y21:AB21">
    <cfRule type="cellIs" dxfId="887" priority="624" operator="equal">
      <formula>"error"</formula>
    </cfRule>
  </conditionalFormatting>
  <conditionalFormatting sqref="X23">
    <cfRule type="cellIs" dxfId="886" priority="612" operator="equal">
      <formula>"Both"</formula>
    </cfRule>
    <cfRule type="cellIs" dxfId="885" priority="613" operator="equal">
      <formula>$M$3</formula>
    </cfRule>
    <cfRule type="cellIs" dxfId="884" priority="614" operator="equal">
      <formula>$M$2</formula>
    </cfRule>
    <cfRule type="expression" dxfId="883" priority="617">
      <formula>X24=""</formula>
    </cfRule>
  </conditionalFormatting>
  <conditionalFormatting sqref="X23">
    <cfRule type="cellIs" dxfId="882" priority="610" operator="equal">
      <formula>"error"</formula>
    </cfRule>
  </conditionalFormatting>
  <conditionalFormatting sqref="Y23:AB23">
    <cfRule type="cellIs" dxfId="881" priority="598" operator="equal">
      <formula>"Both"</formula>
    </cfRule>
    <cfRule type="cellIs" dxfId="880" priority="599" operator="equal">
      <formula>$M$3</formula>
    </cfRule>
    <cfRule type="cellIs" dxfId="879" priority="600" operator="equal">
      <formula>$M$2</formula>
    </cfRule>
    <cfRule type="expression" dxfId="878" priority="603">
      <formula>Y24=""</formula>
    </cfRule>
  </conditionalFormatting>
  <conditionalFormatting sqref="Y23:AB23">
    <cfRule type="cellIs" dxfId="877" priority="596" operator="equal">
      <formula>"error"</formula>
    </cfRule>
  </conditionalFormatting>
  <conditionalFormatting sqref="X25">
    <cfRule type="cellIs" dxfId="876" priority="584" operator="equal">
      <formula>"Both"</formula>
    </cfRule>
    <cfRule type="cellIs" dxfId="875" priority="585" operator="equal">
      <formula>$M$3</formula>
    </cfRule>
    <cfRule type="cellIs" dxfId="874" priority="586" operator="equal">
      <formula>$M$2</formula>
    </cfRule>
    <cfRule type="expression" dxfId="873" priority="589">
      <formula>X26=""</formula>
    </cfRule>
  </conditionalFormatting>
  <conditionalFormatting sqref="X25">
    <cfRule type="cellIs" dxfId="872" priority="582" operator="equal">
      <formula>"error"</formula>
    </cfRule>
  </conditionalFormatting>
  <conditionalFormatting sqref="Y25:AB25">
    <cfRule type="cellIs" dxfId="871" priority="570" operator="equal">
      <formula>"Both"</formula>
    </cfRule>
    <cfRule type="cellIs" dxfId="870" priority="571" operator="equal">
      <formula>$M$3</formula>
    </cfRule>
    <cfRule type="cellIs" dxfId="869" priority="572" operator="equal">
      <formula>$M$2</formula>
    </cfRule>
    <cfRule type="expression" dxfId="868" priority="575">
      <formula>Y26=""</formula>
    </cfRule>
  </conditionalFormatting>
  <conditionalFormatting sqref="Y25:AB25">
    <cfRule type="cellIs" dxfId="867" priority="568" operator="equal">
      <formula>"error"</formula>
    </cfRule>
  </conditionalFormatting>
  <conditionalFormatting sqref="C28">
    <cfRule type="cellIs" dxfId="866" priority="556" operator="equal">
      <formula>"Both"</formula>
    </cfRule>
    <cfRule type="cellIs" dxfId="865" priority="557" operator="equal">
      <formula>$M$3</formula>
    </cfRule>
    <cfRule type="cellIs" dxfId="864" priority="558" operator="equal">
      <formula>$M$2</formula>
    </cfRule>
    <cfRule type="expression" dxfId="863" priority="561">
      <formula>C29=""</formula>
    </cfRule>
  </conditionalFormatting>
  <conditionalFormatting sqref="C28">
    <cfRule type="cellIs" dxfId="862" priority="554" operator="equal">
      <formula>"error"</formula>
    </cfRule>
  </conditionalFormatting>
  <conditionalFormatting sqref="D28:G28">
    <cfRule type="cellIs" dxfId="861" priority="542" operator="equal">
      <formula>"Both"</formula>
    </cfRule>
    <cfRule type="cellIs" dxfId="860" priority="543" operator="equal">
      <formula>$M$3</formula>
    </cfRule>
    <cfRule type="cellIs" dxfId="859" priority="544" operator="equal">
      <formula>$M$2</formula>
    </cfRule>
    <cfRule type="expression" dxfId="858" priority="547">
      <formula>D29=""</formula>
    </cfRule>
  </conditionalFormatting>
  <conditionalFormatting sqref="D28:G28">
    <cfRule type="cellIs" dxfId="857" priority="540" operator="equal">
      <formula>"error"</formula>
    </cfRule>
  </conditionalFormatting>
  <conditionalFormatting sqref="C30">
    <cfRule type="cellIs" dxfId="856" priority="528" operator="equal">
      <formula>"Both"</formula>
    </cfRule>
    <cfRule type="cellIs" dxfId="855" priority="529" operator="equal">
      <formula>$M$3</formula>
    </cfRule>
    <cfRule type="cellIs" dxfId="854" priority="530" operator="equal">
      <formula>$M$2</formula>
    </cfRule>
    <cfRule type="expression" dxfId="853" priority="533">
      <formula>C31=""</formula>
    </cfRule>
  </conditionalFormatting>
  <conditionalFormatting sqref="C30">
    <cfRule type="cellIs" dxfId="852" priority="526" operator="equal">
      <formula>"error"</formula>
    </cfRule>
  </conditionalFormatting>
  <conditionalFormatting sqref="D30:G30">
    <cfRule type="cellIs" dxfId="851" priority="514" operator="equal">
      <formula>"Both"</formula>
    </cfRule>
    <cfRule type="cellIs" dxfId="850" priority="515" operator="equal">
      <formula>$M$3</formula>
    </cfRule>
    <cfRule type="cellIs" dxfId="849" priority="516" operator="equal">
      <formula>$M$2</formula>
    </cfRule>
    <cfRule type="expression" dxfId="848" priority="519">
      <formula>D31=""</formula>
    </cfRule>
  </conditionalFormatting>
  <conditionalFormatting sqref="D30:G30">
    <cfRule type="cellIs" dxfId="847" priority="512" operator="equal">
      <formula>"error"</formula>
    </cfRule>
  </conditionalFormatting>
  <conditionalFormatting sqref="C32">
    <cfRule type="cellIs" dxfId="846" priority="500" operator="equal">
      <formula>"Both"</formula>
    </cfRule>
    <cfRule type="cellIs" dxfId="845" priority="501" operator="equal">
      <formula>$M$3</formula>
    </cfRule>
    <cfRule type="cellIs" dxfId="844" priority="502" operator="equal">
      <formula>$M$2</formula>
    </cfRule>
    <cfRule type="expression" dxfId="843" priority="505">
      <formula>C33=""</formula>
    </cfRule>
  </conditionalFormatting>
  <conditionalFormatting sqref="C32">
    <cfRule type="cellIs" dxfId="842" priority="498" operator="equal">
      <formula>"error"</formula>
    </cfRule>
  </conditionalFormatting>
  <conditionalFormatting sqref="D32:G32">
    <cfRule type="cellIs" dxfId="841" priority="486" operator="equal">
      <formula>"Both"</formula>
    </cfRule>
    <cfRule type="cellIs" dxfId="840" priority="487" operator="equal">
      <formula>$M$3</formula>
    </cfRule>
    <cfRule type="cellIs" dxfId="839" priority="488" operator="equal">
      <formula>$M$2</formula>
    </cfRule>
    <cfRule type="expression" dxfId="838" priority="491">
      <formula>D33=""</formula>
    </cfRule>
  </conditionalFormatting>
  <conditionalFormatting sqref="D32:G32">
    <cfRule type="cellIs" dxfId="837" priority="484" operator="equal">
      <formula>"error"</formula>
    </cfRule>
  </conditionalFormatting>
  <conditionalFormatting sqref="C34">
    <cfRule type="cellIs" dxfId="836" priority="472" operator="equal">
      <formula>"Both"</formula>
    </cfRule>
    <cfRule type="cellIs" dxfId="835" priority="473" operator="equal">
      <formula>$M$3</formula>
    </cfRule>
    <cfRule type="cellIs" dxfId="834" priority="474" operator="equal">
      <formula>$M$2</formula>
    </cfRule>
    <cfRule type="expression" dxfId="833" priority="477">
      <formula>C35=""</formula>
    </cfRule>
  </conditionalFormatting>
  <conditionalFormatting sqref="C34">
    <cfRule type="cellIs" dxfId="832" priority="470" operator="equal">
      <formula>"error"</formula>
    </cfRule>
  </conditionalFormatting>
  <conditionalFormatting sqref="D34:G34">
    <cfRule type="cellIs" dxfId="831" priority="458" operator="equal">
      <formula>"Both"</formula>
    </cfRule>
    <cfRule type="cellIs" dxfId="830" priority="459" operator="equal">
      <formula>$M$3</formula>
    </cfRule>
    <cfRule type="cellIs" dxfId="829" priority="460" operator="equal">
      <formula>$M$2</formula>
    </cfRule>
    <cfRule type="expression" dxfId="828" priority="463">
      <formula>D35=""</formula>
    </cfRule>
  </conditionalFormatting>
  <conditionalFormatting sqref="D34:G34">
    <cfRule type="cellIs" dxfId="827" priority="456" operator="equal">
      <formula>"error"</formula>
    </cfRule>
  </conditionalFormatting>
  <conditionalFormatting sqref="C36">
    <cfRule type="cellIs" dxfId="826" priority="444" operator="equal">
      <formula>"Both"</formula>
    </cfRule>
    <cfRule type="cellIs" dxfId="825" priority="445" operator="equal">
      <formula>$M$3</formula>
    </cfRule>
    <cfRule type="cellIs" dxfId="824" priority="446" operator="equal">
      <formula>$M$2</formula>
    </cfRule>
    <cfRule type="expression" dxfId="823" priority="449">
      <formula>C37=""</formula>
    </cfRule>
  </conditionalFormatting>
  <conditionalFormatting sqref="C36">
    <cfRule type="cellIs" dxfId="822" priority="442" operator="equal">
      <formula>"error"</formula>
    </cfRule>
  </conditionalFormatting>
  <conditionalFormatting sqref="D36:G36">
    <cfRule type="cellIs" dxfId="821" priority="430" operator="equal">
      <formula>"Both"</formula>
    </cfRule>
    <cfRule type="cellIs" dxfId="820" priority="431" operator="equal">
      <formula>$M$3</formula>
    </cfRule>
    <cfRule type="cellIs" dxfId="819" priority="432" operator="equal">
      <formula>$M$2</formula>
    </cfRule>
    <cfRule type="expression" dxfId="818" priority="435">
      <formula>D37=""</formula>
    </cfRule>
  </conditionalFormatting>
  <conditionalFormatting sqref="D36:G36">
    <cfRule type="cellIs" dxfId="817" priority="428" operator="equal">
      <formula>"error"</formula>
    </cfRule>
  </conditionalFormatting>
  <conditionalFormatting sqref="J28">
    <cfRule type="cellIs" dxfId="816" priority="416" operator="equal">
      <formula>"Both"</formula>
    </cfRule>
    <cfRule type="cellIs" dxfId="815" priority="417" operator="equal">
      <formula>$M$3</formula>
    </cfRule>
    <cfRule type="cellIs" dxfId="814" priority="418" operator="equal">
      <formula>$M$2</formula>
    </cfRule>
    <cfRule type="expression" dxfId="813" priority="421">
      <formula>J29=""</formula>
    </cfRule>
  </conditionalFormatting>
  <conditionalFormatting sqref="J28">
    <cfRule type="cellIs" dxfId="812" priority="414" operator="equal">
      <formula>"error"</formula>
    </cfRule>
  </conditionalFormatting>
  <conditionalFormatting sqref="K28:N28">
    <cfRule type="cellIs" dxfId="811" priority="402" operator="equal">
      <formula>"Both"</formula>
    </cfRule>
    <cfRule type="cellIs" dxfId="810" priority="403" operator="equal">
      <formula>$M$3</formula>
    </cfRule>
    <cfRule type="cellIs" dxfId="809" priority="404" operator="equal">
      <formula>$M$2</formula>
    </cfRule>
    <cfRule type="expression" dxfId="808" priority="407">
      <formula>K29=""</formula>
    </cfRule>
  </conditionalFormatting>
  <conditionalFormatting sqref="K28:N28">
    <cfRule type="cellIs" dxfId="807" priority="400" operator="equal">
      <formula>"error"</formula>
    </cfRule>
  </conditionalFormatting>
  <conditionalFormatting sqref="J30">
    <cfRule type="cellIs" dxfId="806" priority="388" operator="equal">
      <formula>"Both"</formula>
    </cfRule>
    <cfRule type="cellIs" dxfId="805" priority="389" operator="equal">
      <formula>$M$3</formula>
    </cfRule>
    <cfRule type="cellIs" dxfId="804" priority="390" operator="equal">
      <formula>$M$2</formula>
    </cfRule>
    <cfRule type="expression" dxfId="803" priority="393">
      <formula>J31=""</formula>
    </cfRule>
  </conditionalFormatting>
  <conditionalFormatting sqref="J30">
    <cfRule type="cellIs" dxfId="802" priority="386" operator="equal">
      <formula>"error"</formula>
    </cfRule>
  </conditionalFormatting>
  <conditionalFormatting sqref="K30:N30">
    <cfRule type="cellIs" dxfId="801" priority="374" operator="equal">
      <formula>"Both"</formula>
    </cfRule>
    <cfRule type="cellIs" dxfId="800" priority="375" operator="equal">
      <formula>$M$3</formula>
    </cfRule>
    <cfRule type="cellIs" dxfId="799" priority="376" operator="equal">
      <formula>$M$2</formula>
    </cfRule>
    <cfRule type="expression" dxfId="798" priority="379">
      <formula>K31=""</formula>
    </cfRule>
  </conditionalFormatting>
  <conditionalFormatting sqref="K30:N30">
    <cfRule type="cellIs" dxfId="797" priority="372" operator="equal">
      <formula>"error"</formula>
    </cfRule>
  </conditionalFormatting>
  <conditionalFormatting sqref="J32">
    <cfRule type="cellIs" dxfId="796" priority="360" operator="equal">
      <formula>"Both"</formula>
    </cfRule>
    <cfRule type="cellIs" dxfId="795" priority="361" operator="equal">
      <formula>$M$3</formula>
    </cfRule>
    <cfRule type="cellIs" dxfId="794" priority="362" operator="equal">
      <formula>$M$2</formula>
    </cfRule>
    <cfRule type="expression" dxfId="793" priority="365">
      <formula>J33=""</formula>
    </cfRule>
  </conditionalFormatting>
  <conditionalFormatting sqref="J32">
    <cfRule type="cellIs" dxfId="792" priority="358" operator="equal">
      <formula>"error"</formula>
    </cfRule>
  </conditionalFormatting>
  <conditionalFormatting sqref="K32:N32">
    <cfRule type="cellIs" dxfId="791" priority="346" operator="equal">
      <formula>"Both"</formula>
    </cfRule>
    <cfRule type="cellIs" dxfId="790" priority="347" operator="equal">
      <formula>$M$3</formula>
    </cfRule>
    <cfRule type="cellIs" dxfId="789" priority="348" operator="equal">
      <formula>$M$2</formula>
    </cfRule>
    <cfRule type="expression" dxfId="788" priority="351">
      <formula>K33=""</formula>
    </cfRule>
  </conditionalFormatting>
  <conditionalFormatting sqref="K32:N32">
    <cfRule type="cellIs" dxfId="787" priority="344" operator="equal">
      <formula>"error"</formula>
    </cfRule>
  </conditionalFormatting>
  <conditionalFormatting sqref="J34">
    <cfRule type="cellIs" dxfId="786" priority="332" operator="equal">
      <formula>"Both"</formula>
    </cfRule>
    <cfRule type="cellIs" dxfId="785" priority="333" operator="equal">
      <formula>$M$3</formula>
    </cfRule>
    <cfRule type="cellIs" dxfId="784" priority="334" operator="equal">
      <formula>$M$2</formula>
    </cfRule>
    <cfRule type="expression" dxfId="783" priority="337">
      <formula>J35=""</formula>
    </cfRule>
  </conditionalFormatting>
  <conditionalFormatting sqref="J34">
    <cfRule type="cellIs" dxfId="782" priority="330" operator="equal">
      <formula>"error"</formula>
    </cfRule>
  </conditionalFormatting>
  <conditionalFormatting sqref="K34:N34">
    <cfRule type="cellIs" dxfId="781" priority="318" operator="equal">
      <formula>"Both"</formula>
    </cfRule>
    <cfRule type="cellIs" dxfId="780" priority="319" operator="equal">
      <formula>$M$3</formula>
    </cfRule>
    <cfRule type="cellIs" dxfId="779" priority="320" operator="equal">
      <formula>$M$2</formula>
    </cfRule>
    <cfRule type="expression" dxfId="778" priority="323">
      <formula>K35=""</formula>
    </cfRule>
  </conditionalFormatting>
  <conditionalFormatting sqref="K34:N34">
    <cfRule type="cellIs" dxfId="777" priority="316" operator="equal">
      <formula>"error"</formula>
    </cfRule>
  </conditionalFormatting>
  <conditionalFormatting sqref="J36">
    <cfRule type="cellIs" dxfId="776" priority="304" operator="equal">
      <formula>"Both"</formula>
    </cfRule>
    <cfRule type="cellIs" dxfId="775" priority="305" operator="equal">
      <formula>$M$3</formula>
    </cfRule>
    <cfRule type="cellIs" dxfId="774" priority="306" operator="equal">
      <formula>$M$2</formula>
    </cfRule>
    <cfRule type="expression" dxfId="773" priority="309">
      <formula>J37=""</formula>
    </cfRule>
  </conditionalFormatting>
  <conditionalFormatting sqref="J36">
    <cfRule type="cellIs" dxfId="772" priority="302" operator="equal">
      <formula>"error"</formula>
    </cfRule>
  </conditionalFormatting>
  <conditionalFormatting sqref="K36:N36">
    <cfRule type="cellIs" dxfId="771" priority="290" operator="equal">
      <formula>"Both"</formula>
    </cfRule>
    <cfRule type="cellIs" dxfId="770" priority="291" operator="equal">
      <formula>$M$3</formula>
    </cfRule>
    <cfRule type="cellIs" dxfId="769" priority="292" operator="equal">
      <formula>$M$2</formula>
    </cfRule>
    <cfRule type="expression" dxfId="768" priority="295">
      <formula>K37=""</formula>
    </cfRule>
  </conditionalFormatting>
  <conditionalFormatting sqref="K36:N36">
    <cfRule type="cellIs" dxfId="767" priority="288" operator="equal">
      <formula>"error"</formula>
    </cfRule>
  </conditionalFormatting>
  <conditionalFormatting sqref="Q28">
    <cfRule type="cellIs" dxfId="766" priority="276" operator="equal">
      <formula>"Both"</formula>
    </cfRule>
    <cfRule type="cellIs" dxfId="765" priority="277" operator="equal">
      <formula>$M$3</formula>
    </cfRule>
    <cfRule type="cellIs" dxfId="764" priority="278" operator="equal">
      <formula>$M$2</formula>
    </cfRule>
    <cfRule type="expression" dxfId="763" priority="281">
      <formula>Q29=""</formula>
    </cfRule>
  </conditionalFormatting>
  <conditionalFormatting sqref="Q28">
    <cfRule type="cellIs" dxfId="762" priority="274" operator="equal">
      <formula>"error"</formula>
    </cfRule>
  </conditionalFormatting>
  <conditionalFormatting sqref="R28:U28">
    <cfRule type="cellIs" dxfId="761" priority="262" operator="equal">
      <formula>"Both"</formula>
    </cfRule>
    <cfRule type="cellIs" dxfId="760" priority="263" operator="equal">
      <formula>$M$3</formula>
    </cfRule>
    <cfRule type="cellIs" dxfId="759" priority="264" operator="equal">
      <formula>$M$2</formula>
    </cfRule>
    <cfRule type="expression" dxfId="758" priority="267">
      <formula>R29=""</formula>
    </cfRule>
  </conditionalFormatting>
  <conditionalFormatting sqref="R28:U28">
    <cfRule type="cellIs" dxfId="757" priority="260" operator="equal">
      <formula>"error"</formula>
    </cfRule>
  </conditionalFormatting>
  <conditionalFormatting sqref="Q30">
    <cfRule type="cellIs" dxfId="756" priority="248" operator="equal">
      <formula>"Both"</formula>
    </cfRule>
    <cfRule type="cellIs" dxfId="755" priority="249" operator="equal">
      <formula>$M$3</formula>
    </cfRule>
    <cfRule type="cellIs" dxfId="754" priority="250" operator="equal">
      <formula>$M$2</formula>
    </cfRule>
    <cfRule type="expression" dxfId="753" priority="253">
      <formula>Q31=""</formula>
    </cfRule>
  </conditionalFormatting>
  <conditionalFormatting sqref="Q30">
    <cfRule type="cellIs" dxfId="752" priority="246" operator="equal">
      <formula>"error"</formula>
    </cfRule>
  </conditionalFormatting>
  <conditionalFormatting sqref="R30:U30">
    <cfRule type="cellIs" dxfId="751" priority="234" operator="equal">
      <formula>"Both"</formula>
    </cfRule>
    <cfRule type="cellIs" dxfId="750" priority="235" operator="equal">
      <formula>$M$3</formula>
    </cfRule>
    <cfRule type="cellIs" dxfId="749" priority="236" operator="equal">
      <formula>$M$2</formula>
    </cfRule>
    <cfRule type="expression" dxfId="748" priority="239">
      <formula>R31=""</formula>
    </cfRule>
  </conditionalFormatting>
  <conditionalFormatting sqref="R30:U30">
    <cfRule type="cellIs" dxfId="747" priority="232" operator="equal">
      <formula>"error"</formula>
    </cfRule>
  </conditionalFormatting>
  <conditionalFormatting sqref="Q32">
    <cfRule type="cellIs" dxfId="746" priority="220" operator="equal">
      <formula>"Both"</formula>
    </cfRule>
    <cfRule type="cellIs" dxfId="745" priority="221" operator="equal">
      <formula>$M$3</formula>
    </cfRule>
    <cfRule type="cellIs" dxfId="744" priority="222" operator="equal">
      <formula>$M$2</formula>
    </cfRule>
    <cfRule type="expression" dxfId="743" priority="225">
      <formula>Q33=""</formula>
    </cfRule>
  </conditionalFormatting>
  <conditionalFormatting sqref="Q32">
    <cfRule type="cellIs" dxfId="742" priority="218" operator="equal">
      <formula>"error"</formula>
    </cfRule>
  </conditionalFormatting>
  <conditionalFormatting sqref="R32:U32">
    <cfRule type="cellIs" dxfId="741" priority="206" operator="equal">
      <formula>"Both"</formula>
    </cfRule>
    <cfRule type="cellIs" dxfId="740" priority="207" operator="equal">
      <formula>$M$3</formula>
    </cfRule>
    <cfRule type="cellIs" dxfId="739" priority="208" operator="equal">
      <formula>$M$2</formula>
    </cfRule>
    <cfRule type="expression" dxfId="738" priority="211">
      <formula>R33=""</formula>
    </cfRule>
  </conditionalFormatting>
  <conditionalFormatting sqref="R32:U32">
    <cfRule type="cellIs" dxfId="737" priority="204" operator="equal">
      <formula>"error"</formula>
    </cfRule>
  </conditionalFormatting>
  <conditionalFormatting sqref="Q34">
    <cfRule type="cellIs" dxfId="736" priority="192" operator="equal">
      <formula>"Both"</formula>
    </cfRule>
    <cfRule type="cellIs" dxfId="735" priority="193" operator="equal">
      <formula>$M$3</formula>
    </cfRule>
    <cfRule type="cellIs" dxfId="734" priority="194" operator="equal">
      <formula>$M$2</formula>
    </cfRule>
    <cfRule type="expression" dxfId="733" priority="197">
      <formula>Q35=""</formula>
    </cfRule>
  </conditionalFormatting>
  <conditionalFormatting sqref="Q34">
    <cfRule type="cellIs" dxfId="732" priority="190" operator="equal">
      <formula>"error"</formula>
    </cfRule>
  </conditionalFormatting>
  <conditionalFormatting sqref="R34:U34">
    <cfRule type="cellIs" dxfId="731" priority="178" operator="equal">
      <formula>"Both"</formula>
    </cfRule>
    <cfRule type="cellIs" dxfId="730" priority="179" operator="equal">
      <formula>$M$3</formula>
    </cfRule>
    <cfRule type="cellIs" dxfId="729" priority="180" operator="equal">
      <formula>$M$2</formula>
    </cfRule>
    <cfRule type="expression" dxfId="728" priority="183">
      <formula>R35=""</formula>
    </cfRule>
  </conditionalFormatting>
  <conditionalFormatting sqref="R34:U34">
    <cfRule type="cellIs" dxfId="727" priority="176" operator="equal">
      <formula>"error"</formula>
    </cfRule>
  </conditionalFormatting>
  <conditionalFormatting sqref="Q36">
    <cfRule type="cellIs" dxfId="726" priority="164" operator="equal">
      <formula>"Both"</formula>
    </cfRule>
    <cfRule type="cellIs" dxfId="725" priority="165" operator="equal">
      <formula>$M$3</formula>
    </cfRule>
    <cfRule type="cellIs" dxfId="724" priority="166" operator="equal">
      <formula>$M$2</formula>
    </cfRule>
    <cfRule type="expression" dxfId="723" priority="169">
      <formula>Q37=""</formula>
    </cfRule>
  </conditionalFormatting>
  <conditionalFormatting sqref="Q36">
    <cfRule type="cellIs" dxfId="722" priority="162" operator="equal">
      <formula>"error"</formula>
    </cfRule>
  </conditionalFormatting>
  <conditionalFormatting sqref="R36:U36">
    <cfRule type="cellIs" dxfId="721" priority="150" operator="equal">
      <formula>"Both"</formula>
    </cfRule>
    <cfRule type="cellIs" dxfId="720" priority="151" operator="equal">
      <formula>$M$3</formula>
    </cfRule>
    <cfRule type="cellIs" dxfId="719" priority="152" operator="equal">
      <formula>$M$2</formula>
    </cfRule>
    <cfRule type="expression" dxfId="718" priority="155">
      <formula>R37=""</formula>
    </cfRule>
  </conditionalFormatting>
  <conditionalFormatting sqref="R36:U36">
    <cfRule type="cellIs" dxfId="717" priority="148" operator="equal">
      <formula>"error"</formula>
    </cfRule>
  </conditionalFormatting>
  <conditionalFormatting sqref="X28">
    <cfRule type="cellIs" dxfId="716" priority="136" operator="equal">
      <formula>"Both"</formula>
    </cfRule>
    <cfRule type="cellIs" dxfId="715" priority="137" operator="equal">
      <formula>$M$3</formula>
    </cfRule>
    <cfRule type="cellIs" dxfId="714" priority="138" operator="equal">
      <formula>$M$2</formula>
    </cfRule>
    <cfRule type="expression" dxfId="713" priority="141">
      <formula>X29=""</formula>
    </cfRule>
  </conditionalFormatting>
  <conditionalFormatting sqref="X28">
    <cfRule type="cellIs" dxfId="712" priority="134" operator="equal">
      <formula>"error"</formula>
    </cfRule>
  </conditionalFormatting>
  <conditionalFormatting sqref="Y28:AB28">
    <cfRule type="cellIs" dxfId="711" priority="122" operator="equal">
      <formula>"Both"</formula>
    </cfRule>
    <cfRule type="cellIs" dxfId="710" priority="123" operator="equal">
      <formula>$M$3</formula>
    </cfRule>
    <cfRule type="cellIs" dxfId="709" priority="124" operator="equal">
      <formula>$M$2</formula>
    </cfRule>
    <cfRule type="expression" dxfId="708" priority="127">
      <formula>Y29=""</formula>
    </cfRule>
  </conditionalFormatting>
  <conditionalFormatting sqref="Y28:AB28">
    <cfRule type="cellIs" dxfId="707" priority="120" operator="equal">
      <formula>"error"</formula>
    </cfRule>
  </conditionalFormatting>
  <conditionalFormatting sqref="X30">
    <cfRule type="cellIs" dxfId="706" priority="108" operator="equal">
      <formula>"Both"</formula>
    </cfRule>
    <cfRule type="cellIs" dxfId="705" priority="109" operator="equal">
      <formula>$M$3</formula>
    </cfRule>
    <cfRule type="cellIs" dxfId="704" priority="110" operator="equal">
      <formula>$M$2</formula>
    </cfRule>
    <cfRule type="expression" dxfId="703" priority="113">
      <formula>X31=""</formula>
    </cfRule>
  </conditionalFormatting>
  <conditionalFormatting sqref="X30">
    <cfRule type="cellIs" dxfId="702" priority="106" operator="equal">
      <formula>"error"</formula>
    </cfRule>
  </conditionalFormatting>
  <conditionalFormatting sqref="Y30:AB30">
    <cfRule type="cellIs" dxfId="701" priority="94" operator="equal">
      <formula>"Both"</formula>
    </cfRule>
    <cfRule type="cellIs" dxfId="700" priority="95" operator="equal">
      <formula>$M$3</formula>
    </cfRule>
    <cfRule type="cellIs" dxfId="699" priority="96" operator="equal">
      <formula>$M$2</formula>
    </cfRule>
    <cfRule type="expression" dxfId="698" priority="99">
      <formula>Y31=""</formula>
    </cfRule>
  </conditionalFormatting>
  <conditionalFormatting sqref="Y30:AB30">
    <cfRule type="cellIs" dxfId="697" priority="92" operator="equal">
      <formula>"error"</formula>
    </cfRule>
  </conditionalFormatting>
  <conditionalFormatting sqref="X32">
    <cfRule type="cellIs" dxfId="696" priority="80" operator="equal">
      <formula>"Both"</formula>
    </cfRule>
    <cfRule type="cellIs" dxfId="695" priority="81" operator="equal">
      <formula>$M$3</formula>
    </cfRule>
    <cfRule type="cellIs" dxfId="694" priority="82" operator="equal">
      <formula>$M$2</formula>
    </cfRule>
    <cfRule type="expression" dxfId="693" priority="85">
      <formula>X33=""</formula>
    </cfRule>
  </conditionalFormatting>
  <conditionalFormatting sqref="X32">
    <cfRule type="cellIs" dxfId="692" priority="78" operator="equal">
      <formula>"error"</formula>
    </cfRule>
  </conditionalFormatting>
  <conditionalFormatting sqref="Y32:AB32">
    <cfRule type="cellIs" dxfId="691" priority="66" operator="equal">
      <formula>"Both"</formula>
    </cfRule>
    <cfRule type="cellIs" dxfId="690" priority="67" operator="equal">
      <formula>$M$3</formula>
    </cfRule>
    <cfRule type="cellIs" dxfId="689" priority="68" operator="equal">
      <formula>$M$2</formula>
    </cfRule>
    <cfRule type="expression" dxfId="688" priority="71">
      <formula>Y33=""</formula>
    </cfRule>
  </conditionalFormatting>
  <conditionalFormatting sqref="Y32:AB32">
    <cfRule type="cellIs" dxfId="687" priority="64" operator="equal">
      <formula>"error"</formula>
    </cfRule>
  </conditionalFormatting>
  <conditionalFormatting sqref="X34">
    <cfRule type="cellIs" dxfId="686" priority="52" operator="equal">
      <formula>"Both"</formula>
    </cfRule>
    <cfRule type="cellIs" dxfId="685" priority="53" operator="equal">
      <formula>$M$3</formula>
    </cfRule>
    <cfRule type="cellIs" dxfId="684" priority="54" operator="equal">
      <formula>$M$2</formula>
    </cfRule>
    <cfRule type="expression" dxfId="683" priority="57">
      <formula>X35=""</formula>
    </cfRule>
  </conditionalFormatting>
  <conditionalFormatting sqref="X34">
    <cfRule type="cellIs" dxfId="682" priority="50" operator="equal">
      <formula>"error"</formula>
    </cfRule>
  </conditionalFormatting>
  <conditionalFormatting sqref="Y34:AB34">
    <cfRule type="cellIs" dxfId="681" priority="38" operator="equal">
      <formula>"Both"</formula>
    </cfRule>
    <cfRule type="cellIs" dxfId="680" priority="39" operator="equal">
      <formula>$M$3</formula>
    </cfRule>
    <cfRule type="cellIs" dxfId="679" priority="40" operator="equal">
      <formula>$M$2</formula>
    </cfRule>
    <cfRule type="expression" dxfId="678" priority="43">
      <formula>Y35=""</formula>
    </cfRule>
  </conditionalFormatting>
  <conditionalFormatting sqref="Y34:AB34">
    <cfRule type="cellIs" dxfId="677" priority="36" operator="equal">
      <formula>"error"</formula>
    </cfRule>
  </conditionalFormatting>
  <conditionalFormatting sqref="X36">
    <cfRule type="cellIs" dxfId="676" priority="24" operator="equal">
      <formula>"Both"</formula>
    </cfRule>
    <cfRule type="cellIs" dxfId="675" priority="25" operator="equal">
      <formula>$M$3</formula>
    </cfRule>
    <cfRule type="cellIs" dxfId="674" priority="26" operator="equal">
      <formula>$M$2</formula>
    </cfRule>
    <cfRule type="expression" dxfId="673" priority="29">
      <formula>X37=""</formula>
    </cfRule>
  </conditionalFormatting>
  <conditionalFormatting sqref="X36">
    <cfRule type="cellIs" dxfId="672" priority="22" operator="equal">
      <formula>"error"</formula>
    </cfRule>
  </conditionalFormatting>
  <conditionalFormatting sqref="Y36:AB36">
    <cfRule type="cellIs" dxfId="671" priority="10" operator="equal">
      <formula>"Both"</formula>
    </cfRule>
    <cfRule type="cellIs" dxfId="670" priority="11" operator="equal">
      <formula>$M$3</formula>
    </cfRule>
    <cfRule type="cellIs" dxfId="669" priority="12" operator="equal">
      <formula>$M$2</formula>
    </cfRule>
    <cfRule type="expression" dxfId="668" priority="15">
      <formula>Y37=""</formula>
    </cfRule>
  </conditionalFormatting>
  <conditionalFormatting sqref="Y36:AB36">
    <cfRule type="cellIs" dxfId="667" priority="8" operator="equal">
      <formula>"error"</formula>
    </cfRule>
  </conditionalFormatting>
  <dataValidations count="1">
    <dataValidation type="decimal" allowBlank="1" showInputMessage="1" showErrorMessage="1" sqref="O40" xr:uid="{00000000-0002-0000-0400-000000000000}">
      <formula1>0</formula1>
      <formula2>8</formula2>
    </dataValidation>
  </dataValidations>
  <printOptions horizontalCentered="1" verticalCentered="1"/>
  <pageMargins left="0.7" right="0.7" top="0.75" bottom="0.75" header="0.3" footer="0.3"/>
  <pageSetup scale="55" orientation="landscape" r:id="rId1"/>
  <headerFooter>
    <oddHeader xml:space="preserve">&amp;L&amp;G&amp;C&amp;"-,Bold"&amp;14&amp;K04+000Multiple Location Calendar
&amp;K000000Combined &amp;R&amp;"Segoe UI,Bold"&amp;12 2026-2027&amp;K000000 School Year
&amp;K04+000
</oddHeader>
    <oddFooter>&amp;L&amp;"-,Bold"&amp;K04+000Human Resource Usage Only:&amp;"-,Regular"&amp;K01+000
__ Contract days balance        __ Skyward assignments match   
__ Calendar types updated    __ Notes&amp;C__ Uploaded to Google Doc                  __ Scanned in Employee File&amp;R&amp;D</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3073" r:id="rId5" name="Check Box 1">
              <controlPr defaultSize="0" autoFill="0" autoLine="0" autoPict="0">
                <anchor moveWithCells="1">
                  <from>
                    <xdr:col>20</xdr:col>
                    <xdr:colOff>485775</xdr:colOff>
                    <xdr:row>1</xdr:row>
                    <xdr:rowOff>238125</xdr:rowOff>
                  </from>
                  <to>
                    <xdr:col>22</xdr:col>
                    <xdr:colOff>190500</xdr:colOff>
                    <xdr:row>2</xdr:row>
                    <xdr:rowOff>28575</xdr:rowOff>
                  </to>
                </anchor>
              </controlPr>
            </control>
          </mc:Choice>
        </mc:AlternateContent>
        <mc:AlternateContent xmlns:mc="http://schemas.openxmlformats.org/markup-compatibility/2006">
          <mc:Choice Requires="x14">
            <control shapeId="3074" r:id="rId6" name="Check Box 2">
              <controlPr defaultSize="0" autoFill="0" autoLine="0" autoPict="0">
                <anchor moveWithCells="1">
                  <from>
                    <xdr:col>20</xdr:col>
                    <xdr:colOff>485775</xdr:colOff>
                    <xdr:row>1</xdr:row>
                    <xdr:rowOff>409575</xdr:rowOff>
                  </from>
                  <to>
                    <xdr:col>22</xdr:col>
                    <xdr:colOff>228600</xdr:colOff>
                    <xdr:row>2</xdr:row>
                    <xdr:rowOff>190500</xdr:rowOff>
                  </to>
                </anchor>
              </controlPr>
            </control>
          </mc:Choice>
        </mc:AlternateContent>
        <mc:AlternateContent xmlns:mc="http://schemas.openxmlformats.org/markup-compatibility/2006">
          <mc:Choice Requires="x14">
            <control shapeId="3075" r:id="rId7" name="Check Box 3">
              <controlPr defaultSize="0" autoFill="0" autoLine="0" autoPict="0">
                <anchor moveWithCells="1">
                  <from>
                    <xdr:col>20</xdr:col>
                    <xdr:colOff>485775</xdr:colOff>
                    <xdr:row>2</xdr:row>
                    <xdr:rowOff>152400</xdr:rowOff>
                  </from>
                  <to>
                    <xdr:col>22</xdr:col>
                    <xdr:colOff>228600</xdr:colOff>
                    <xdr:row>2</xdr:row>
                    <xdr:rowOff>352425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16415" operator="containsText" id="{7B81984F-264B-4671-85CB-5BDA6C4973A8}">
            <xm:f>NOT(ISERROR(SEARCH("û",AC42)))</xm:f>
            <xm:f>"û"</xm:f>
            <x14:dxf>
              <font>
                <color rgb="FFFF0000"/>
              </font>
            </x14:dxf>
          </x14:cfRule>
          <x14:cfRule type="containsText" priority="16416" operator="containsText" id="{41862AF5-6D0B-40A5-B30E-EBE0D8A4829E}">
            <xm:f>NOT(ISERROR(SEARCH("ü",AC42)))</xm:f>
            <xm:f>"ü"</xm:f>
            <x14:dxf>
              <font>
                <color theme="9" tint="-0.24994659260841701"/>
              </font>
            </x14:dxf>
          </x14:cfRule>
          <xm:sqref>AC42</xm:sqref>
        </x14:conditionalFormatting>
        <x14:conditionalFormatting xmlns:xm="http://schemas.microsoft.com/office/excel/2006/main">
          <x14:cfRule type="containsText" priority="16184" operator="containsText" id="{6E2904AC-8660-4C11-B5F0-9455C8B649CC}">
            <xm:f>NOT(ISERROR(SEARCH("û",AB44)))</xm:f>
            <xm:f>"û"</xm:f>
            <x14:dxf>
              <font>
                <color rgb="FFC00000"/>
              </font>
            </x14:dxf>
          </x14:cfRule>
          <x14:cfRule type="containsText" priority="16185" operator="containsText" id="{0F690579-15AE-4673-8B75-40890E4795FA}">
            <xm:f>NOT(ISERROR(SEARCH("ü",AB44)))</xm:f>
            <xm:f>"ü"</xm:f>
            <x14:dxf>
              <font>
                <color theme="9" tint="-0.24994659260841701"/>
              </font>
            </x14:dxf>
          </x14:cfRule>
          <xm:sqref>AB44</xm:sqref>
        </x14:conditionalFormatting>
        <x14:conditionalFormatting xmlns:xm="http://schemas.microsoft.com/office/excel/2006/main">
          <x14:cfRule type="expression" priority="5755" id="{580CCD26-2B64-4EF6-8174-C9B89FC6BB8D}">
            <xm:f>VLOOKUP(C7,Calendars!$O$1:$U$398,MATCH($P$1,Calendars!$O$1:$U$1,0),FALSE)="Holiday"</xm:f>
            <x14:dxf>
              <fill>
                <patternFill>
                  <bgColor rgb="FFFF99FF"/>
                </patternFill>
              </fill>
            </x14:dxf>
          </x14:cfRule>
          <x14:cfRule type="expression" priority="5756" id="{189394AE-3305-4142-9DBA-A12CDF3FF171}">
            <xm:f>VLOOKUP(C7,Calendars!$O$1:$U$398,MATCH($P$1,Calendars!$O$1:$U$1,0),FALSE)="Non Contract"</xm:f>
            <x14:dxf>
              <fill>
                <patternFill patternType="lightDown"/>
              </fill>
            </x14:dxf>
          </x14:cfRule>
          <xm:sqref>X39:AB39 X41:AB41 C6</xm:sqref>
        </x14:conditionalFormatting>
        <x14:conditionalFormatting xmlns:xm="http://schemas.microsoft.com/office/excel/2006/main">
          <x14:cfRule type="expression" priority="5758" id="{D50BD85F-78E1-4F99-822A-0F731AD92631}">
            <xm:f>VLOOKUP(C7,Calendars!$O$1:$U$398,MATCH($P$1,Calendars!$O$1:$U$1,0),FALSE)=""</xm:f>
            <x14:dxf>
              <fill>
                <patternFill>
                  <bgColor rgb="FFFF0000"/>
                </patternFill>
              </fill>
            </x14:dxf>
          </x14:cfRule>
          <xm:sqref>X39:AB39 X41:AB41 C6</xm:sqref>
        </x14:conditionalFormatting>
        <x14:conditionalFormatting xmlns:xm="http://schemas.microsoft.com/office/excel/2006/main">
          <x14:cfRule type="expression" priority="5751" id="{1C905F7E-1C4F-4CFB-AB6E-965CABC4A2CA}">
            <xm:f>AND(C6="",VLOOKUP(C7,Calendars!$O$1:$U$398,MATCH($X$1,Calendars!$O$1:$U$1,0),FALSE)="")</xm:f>
            <x14:dxf>
              <fill>
                <patternFill>
                  <bgColor rgb="FFFF0000"/>
                </patternFill>
              </fill>
            </x14:dxf>
          </x14:cfRule>
          <xm:sqref>X39:AB39 X41:AB41 C6</xm:sqref>
        </x14:conditionalFormatting>
        <x14:conditionalFormatting xmlns:xm="http://schemas.microsoft.com/office/excel/2006/main">
          <x14:cfRule type="expression" priority="1665" id="{94556559-386E-4415-80B3-23CEABA8A44B}">
            <xm:f>VLOOKUP(D7,Calendars!$O$1:$U$398,MATCH($P$1,Calendars!$O$1:$U$1,0),FALSE)="Holiday"</xm:f>
            <x14:dxf>
              <fill>
                <patternFill>
                  <bgColor rgb="FFFF99FF"/>
                </patternFill>
              </fill>
            </x14:dxf>
          </x14:cfRule>
          <x14:cfRule type="expression" priority="1666" id="{EF3AAD8C-FA5F-43F7-B531-D8C3232A6B8A}">
            <xm:f>VLOOKUP(D7,Calendars!$O$1:$U$398,MATCH($P$1,Calendars!$O$1:$U$1,0),FALSE)="Non Contract"</xm:f>
            <x14:dxf>
              <fill>
                <patternFill patternType="lightDown"/>
              </fill>
            </x14:dxf>
          </x14:cfRule>
          <xm:sqref>D6:G6</xm:sqref>
        </x14:conditionalFormatting>
        <x14:conditionalFormatting xmlns:xm="http://schemas.microsoft.com/office/excel/2006/main">
          <x14:cfRule type="expression" priority="1668" id="{3F366426-4387-4175-B66F-B47258A2B86E}">
            <xm:f>VLOOKUP(D7,Calendars!$O$1:$U$398,MATCH($P$1,Calendars!$O$1:$U$1,0),FALSE)=""</xm:f>
            <x14:dxf>
              <fill>
                <patternFill>
                  <bgColor rgb="FFFF0000"/>
                </patternFill>
              </fill>
            </x14:dxf>
          </x14:cfRule>
          <xm:sqref>D6:G6</xm:sqref>
        </x14:conditionalFormatting>
        <x14:conditionalFormatting xmlns:xm="http://schemas.microsoft.com/office/excel/2006/main">
          <x14:cfRule type="expression" priority="1661" id="{83E22FA2-465D-4591-AE97-6DEB47346B96}">
            <xm:f>AND(D6="",VLOOKUP(D7,Calendars!$O$1:$U$398,MATCH($X$1,Calendars!$O$1:$U$1,0),FALSE)="")</xm:f>
            <x14:dxf>
              <fill>
                <patternFill>
                  <bgColor rgb="FFFF0000"/>
                </patternFill>
              </fill>
            </x14:dxf>
          </x14:cfRule>
          <xm:sqref>D6:G6</xm:sqref>
        </x14:conditionalFormatting>
        <x14:conditionalFormatting xmlns:xm="http://schemas.microsoft.com/office/excel/2006/main">
          <x14:cfRule type="expression" priority="1651" id="{AD544393-C134-471B-82AA-CBBCBFCFD216}">
            <xm:f>VLOOKUP(C9,Calendars!$O$1:$U$398,MATCH($P$1,Calendars!$O$1:$U$1,0),FALSE)="Holiday"</xm:f>
            <x14:dxf>
              <fill>
                <patternFill>
                  <bgColor rgb="FFFF99FF"/>
                </patternFill>
              </fill>
            </x14:dxf>
          </x14:cfRule>
          <x14:cfRule type="expression" priority="1652" id="{B4E9C3AC-67F6-4CC0-A219-1CD285CEC476}">
            <xm:f>VLOOKUP(C9,Calendars!$O$1:$U$398,MATCH($P$1,Calendars!$O$1:$U$1,0),FALSE)="Non Contract"</xm:f>
            <x14:dxf>
              <fill>
                <patternFill patternType="lightDown"/>
              </fill>
            </x14:dxf>
          </x14:cfRule>
          <xm:sqref>C8</xm:sqref>
        </x14:conditionalFormatting>
        <x14:conditionalFormatting xmlns:xm="http://schemas.microsoft.com/office/excel/2006/main">
          <x14:cfRule type="expression" priority="1654" id="{B0CA68C1-1CE4-4376-9C78-BF63719FE946}">
            <xm:f>VLOOKUP(C9,Calendars!$O$1:$U$398,MATCH($P$1,Calendars!$O$1:$U$1,0),FALSE)=""</xm:f>
            <x14:dxf>
              <fill>
                <patternFill>
                  <bgColor rgb="FFFF0000"/>
                </patternFill>
              </fill>
            </x14:dxf>
          </x14:cfRule>
          <xm:sqref>C8</xm:sqref>
        </x14:conditionalFormatting>
        <x14:conditionalFormatting xmlns:xm="http://schemas.microsoft.com/office/excel/2006/main">
          <x14:cfRule type="expression" priority="1647" id="{74317BC4-B020-464E-99E3-7065A2E14633}">
            <xm:f>AND(C8="",VLOOKUP(C9,Calendars!$O$1:$U$398,MATCH($X$1,Calendars!$O$1:$U$1,0),FALSE)="")</xm:f>
            <x14:dxf>
              <fill>
                <patternFill>
                  <bgColor rgb="FFFF0000"/>
                </patternFill>
              </fill>
            </x14:dxf>
          </x14:cfRule>
          <xm:sqref>C8</xm:sqref>
        </x14:conditionalFormatting>
        <x14:conditionalFormatting xmlns:xm="http://schemas.microsoft.com/office/excel/2006/main">
          <x14:cfRule type="expression" priority="1637" id="{0DF09B71-0C3D-4458-AA84-5BAEBD2650A1}">
            <xm:f>VLOOKUP(D9,Calendars!$O$1:$U$398,MATCH($P$1,Calendars!$O$1:$U$1,0),FALSE)="Holiday"</xm:f>
            <x14:dxf>
              <fill>
                <patternFill>
                  <bgColor rgb="FFFF99FF"/>
                </patternFill>
              </fill>
            </x14:dxf>
          </x14:cfRule>
          <x14:cfRule type="expression" priority="1638" id="{0BDC6DB9-B0F1-4770-BB50-35F05FAB0F9B}">
            <xm:f>VLOOKUP(D9,Calendars!$O$1:$U$398,MATCH($P$1,Calendars!$O$1:$U$1,0),FALSE)="Non Contract"</xm:f>
            <x14:dxf>
              <fill>
                <patternFill patternType="lightDown"/>
              </fill>
            </x14:dxf>
          </x14:cfRule>
          <xm:sqref>D8:G8</xm:sqref>
        </x14:conditionalFormatting>
        <x14:conditionalFormatting xmlns:xm="http://schemas.microsoft.com/office/excel/2006/main">
          <x14:cfRule type="expression" priority="1640" id="{1BD3D7D7-955E-4BE1-A5B8-2C5648DF2AFF}">
            <xm:f>VLOOKUP(D9,Calendars!$O$1:$U$398,MATCH($P$1,Calendars!$O$1:$U$1,0),FALSE)=""</xm:f>
            <x14:dxf>
              <fill>
                <patternFill>
                  <bgColor rgb="FFFF0000"/>
                </patternFill>
              </fill>
            </x14:dxf>
          </x14:cfRule>
          <xm:sqref>D8:G8</xm:sqref>
        </x14:conditionalFormatting>
        <x14:conditionalFormatting xmlns:xm="http://schemas.microsoft.com/office/excel/2006/main">
          <x14:cfRule type="expression" priority="1633" id="{04BE6068-6CA2-4809-95CB-4FF6930C41C0}">
            <xm:f>AND(D8="",VLOOKUP(D9,Calendars!$O$1:$U$398,MATCH($X$1,Calendars!$O$1:$U$1,0),FALSE)="")</xm:f>
            <x14:dxf>
              <fill>
                <patternFill>
                  <bgColor rgb="FFFF0000"/>
                </patternFill>
              </fill>
            </x14:dxf>
          </x14:cfRule>
          <xm:sqref>D8:G8</xm:sqref>
        </x14:conditionalFormatting>
        <x14:conditionalFormatting xmlns:xm="http://schemas.microsoft.com/office/excel/2006/main">
          <x14:cfRule type="expression" priority="1623" id="{7C5C96A0-F505-4F4C-BBE1-E68084A4EFA0}">
            <xm:f>VLOOKUP(C11,Calendars!$O$1:$U$398,MATCH($P$1,Calendars!$O$1:$U$1,0),FALSE)="Holiday"</xm:f>
            <x14:dxf>
              <fill>
                <patternFill>
                  <bgColor rgb="FFFF99FF"/>
                </patternFill>
              </fill>
            </x14:dxf>
          </x14:cfRule>
          <x14:cfRule type="expression" priority="1624" id="{1E9B410D-D440-4DD1-8355-9A252BA97629}">
            <xm:f>VLOOKUP(C11,Calendars!$O$1:$U$398,MATCH($P$1,Calendars!$O$1:$U$1,0),FALSE)="Non Contract"</xm:f>
            <x14:dxf>
              <fill>
                <patternFill patternType="lightDown"/>
              </fill>
            </x14:dxf>
          </x14:cfRule>
          <xm:sqref>C10</xm:sqref>
        </x14:conditionalFormatting>
        <x14:conditionalFormatting xmlns:xm="http://schemas.microsoft.com/office/excel/2006/main">
          <x14:cfRule type="expression" priority="1626" id="{C0109D96-8E65-45CE-BC8D-82CF02E422C5}">
            <xm:f>VLOOKUP(C11,Calendars!$O$1:$U$398,MATCH($P$1,Calendars!$O$1:$U$1,0),FALSE)=""</xm:f>
            <x14:dxf>
              <fill>
                <patternFill>
                  <bgColor rgb="FFFF0000"/>
                </patternFill>
              </fill>
            </x14:dxf>
          </x14:cfRule>
          <xm:sqref>C10</xm:sqref>
        </x14:conditionalFormatting>
        <x14:conditionalFormatting xmlns:xm="http://schemas.microsoft.com/office/excel/2006/main">
          <x14:cfRule type="expression" priority="1619" id="{60FD544B-9224-4910-AA17-74F13FB05CDA}">
            <xm:f>AND(C10="",VLOOKUP(C11,Calendars!$O$1:$U$398,MATCH($X$1,Calendars!$O$1:$U$1,0),FALSE)="")</xm:f>
            <x14:dxf>
              <fill>
                <patternFill>
                  <bgColor rgb="FFFF0000"/>
                </patternFill>
              </fill>
            </x14:dxf>
          </x14:cfRule>
          <xm:sqref>C10</xm:sqref>
        </x14:conditionalFormatting>
        <x14:conditionalFormatting xmlns:xm="http://schemas.microsoft.com/office/excel/2006/main">
          <x14:cfRule type="expression" priority="1609" id="{56F07808-E49A-466B-8365-11AF08755F90}">
            <xm:f>VLOOKUP(D11,Calendars!$O$1:$U$398,MATCH($P$1,Calendars!$O$1:$U$1,0),FALSE)="Holiday"</xm:f>
            <x14:dxf>
              <fill>
                <patternFill>
                  <bgColor rgb="FFFF99FF"/>
                </patternFill>
              </fill>
            </x14:dxf>
          </x14:cfRule>
          <x14:cfRule type="expression" priority="1610" id="{780FA443-889F-434B-AD25-ADFC6F754AC7}">
            <xm:f>VLOOKUP(D11,Calendars!$O$1:$U$398,MATCH($P$1,Calendars!$O$1:$U$1,0),FALSE)="Non Contract"</xm:f>
            <x14:dxf>
              <fill>
                <patternFill patternType="lightDown"/>
              </fill>
            </x14:dxf>
          </x14:cfRule>
          <xm:sqref>D10:G10</xm:sqref>
        </x14:conditionalFormatting>
        <x14:conditionalFormatting xmlns:xm="http://schemas.microsoft.com/office/excel/2006/main">
          <x14:cfRule type="expression" priority="1612" id="{2019DE57-7774-43DF-AB08-6152CE79C975}">
            <xm:f>VLOOKUP(D11,Calendars!$O$1:$U$398,MATCH($P$1,Calendars!$O$1:$U$1,0),FALSE)=""</xm:f>
            <x14:dxf>
              <fill>
                <patternFill>
                  <bgColor rgb="FFFF0000"/>
                </patternFill>
              </fill>
            </x14:dxf>
          </x14:cfRule>
          <xm:sqref>D10:G10</xm:sqref>
        </x14:conditionalFormatting>
        <x14:conditionalFormatting xmlns:xm="http://schemas.microsoft.com/office/excel/2006/main">
          <x14:cfRule type="expression" priority="1605" id="{90C9AD20-A3B4-4715-8F15-D94BFEA6754E}">
            <xm:f>AND(D10="",VLOOKUP(D11,Calendars!$O$1:$U$398,MATCH($X$1,Calendars!$O$1:$U$1,0),FALSE)="")</xm:f>
            <x14:dxf>
              <fill>
                <patternFill>
                  <bgColor rgb="FFFF0000"/>
                </patternFill>
              </fill>
            </x14:dxf>
          </x14:cfRule>
          <xm:sqref>D10:G10</xm:sqref>
        </x14:conditionalFormatting>
        <x14:conditionalFormatting xmlns:xm="http://schemas.microsoft.com/office/excel/2006/main">
          <x14:cfRule type="expression" priority="1595" id="{74B28EED-1F2B-4CAA-BFCC-09A221F78BDC}">
            <xm:f>VLOOKUP(C13,Calendars!$O$1:$U$398,MATCH($P$1,Calendars!$O$1:$U$1,0),FALSE)="Holiday"</xm:f>
            <x14:dxf>
              <fill>
                <patternFill>
                  <bgColor rgb="FFFF99FF"/>
                </patternFill>
              </fill>
            </x14:dxf>
          </x14:cfRule>
          <x14:cfRule type="expression" priority="1596" id="{ACBAD9BD-CA57-4642-8A99-2BFF1779E822}">
            <xm:f>VLOOKUP(C13,Calendars!$O$1:$U$398,MATCH($P$1,Calendars!$O$1:$U$1,0),FALSE)="Non Contract"</xm:f>
            <x14:dxf>
              <fill>
                <patternFill patternType="lightDown"/>
              </fill>
            </x14:dxf>
          </x14:cfRule>
          <xm:sqref>C12</xm:sqref>
        </x14:conditionalFormatting>
        <x14:conditionalFormatting xmlns:xm="http://schemas.microsoft.com/office/excel/2006/main">
          <x14:cfRule type="expression" priority="1598" id="{A3E7EDCC-BC27-423D-A942-5274595A5441}">
            <xm:f>VLOOKUP(C13,Calendars!$O$1:$U$398,MATCH($P$1,Calendars!$O$1:$U$1,0),FALSE)=""</xm:f>
            <x14:dxf>
              <fill>
                <patternFill>
                  <bgColor rgb="FFFF0000"/>
                </patternFill>
              </fill>
            </x14:dxf>
          </x14:cfRule>
          <xm:sqref>C12</xm:sqref>
        </x14:conditionalFormatting>
        <x14:conditionalFormatting xmlns:xm="http://schemas.microsoft.com/office/excel/2006/main">
          <x14:cfRule type="expression" priority="1591" id="{33F41C82-6CF3-48EE-9A0D-27F429EA51C9}">
            <xm:f>AND(C12="",VLOOKUP(C13,Calendars!$O$1:$U$398,MATCH($X$1,Calendars!$O$1:$U$1,0),FALSE)="")</xm:f>
            <x14:dxf>
              <fill>
                <patternFill>
                  <bgColor rgb="FFFF0000"/>
                </patternFill>
              </fill>
            </x14:dxf>
          </x14:cfRule>
          <xm:sqref>C12</xm:sqref>
        </x14:conditionalFormatting>
        <x14:conditionalFormatting xmlns:xm="http://schemas.microsoft.com/office/excel/2006/main">
          <x14:cfRule type="expression" priority="1581" id="{00833075-E702-4223-BB51-7ABCDA346A34}">
            <xm:f>VLOOKUP(D13,Calendars!$O$1:$U$398,MATCH($P$1,Calendars!$O$1:$U$1,0),FALSE)="Holiday"</xm:f>
            <x14:dxf>
              <fill>
                <patternFill>
                  <bgColor rgb="FFFF99FF"/>
                </patternFill>
              </fill>
            </x14:dxf>
          </x14:cfRule>
          <x14:cfRule type="expression" priority="1582" id="{0FCDF325-BB82-4288-9E84-FB7C87A10E58}">
            <xm:f>VLOOKUP(D13,Calendars!$O$1:$U$398,MATCH($P$1,Calendars!$O$1:$U$1,0),FALSE)="Non Contract"</xm:f>
            <x14:dxf>
              <fill>
                <patternFill patternType="lightDown"/>
              </fill>
            </x14:dxf>
          </x14:cfRule>
          <xm:sqref>D12:G12</xm:sqref>
        </x14:conditionalFormatting>
        <x14:conditionalFormatting xmlns:xm="http://schemas.microsoft.com/office/excel/2006/main">
          <x14:cfRule type="expression" priority="1584" id="{6D978BA3-F69A-42B9-852C-BF772C84ECF2}">
            <xm:f>VLOOKUP(D13,Calendars!$O$1:$U$398,MATCH($P$1,Calendars!$O$1:$U$1,0),FALSE)=""</xm:f>
            <x14:dxf>
              <fill>
                <patternFill>
                  <bgColor rgb="FFFF0000"/>
                </patternFill>
              </fill>
            </x14:dxf>
          </x14:cfRule>
          <xm:sqref>D12:G12</xm:sqref>
        </x14:conditionalFormatting>
        <x14:conditionalFormatting xmlns:xm="http://schemas.microsoft.com/office/excel/2006/main">
          <x14:cfRule type="expression" priority="1577" id="{13A6BDD9-E5BE-491E-AC93-21615EDA5EF9}">
            <xm:f>AND(D12="",VLOOKUP(D13,Calendars!$O$1:$U$398,MATCH($X$1,Calendars!$O$1:$U$1,0),FALSE)="")</xm:f>
            <x14:dxf>
              <fill>
                <patternFill>
                  <bgColor rgb="FFFF0000"/>
                </patternFill>
              </fill>
            </x14:dxf>
          </x14:cfRule>
          <xm:sqref>D12:G12</xm:sqref>
        </x14:conditionalFormatting>
        <x14:conditionalFormatting xmlns:xm="http://schemas.microsoft.com/office/excel/2006/main">
          <x14:cfRule type="expression" priority="1567" id="{93E545CA-7562-40F6-BA1E-2F7ABD80DC08}">
            <xm:f>VLOOKUP(C15,Calendars!$O$1:$U$398,MATCH($P$1,Calendars!$O$1:$U$1,0),FALSE)="Holiday"</xm:f>
            <x14:dxf>
              <fill>
                <patternFill>
                  <bgColor rgb="FFFF99FF"/>
                </patternFill>
              </fill>
            </x14:dxf>
          </x14:cfRule>
          <x14:cfRule type="expression" priority="1568" id="{FB96CB0F-C821-4366-BBEB-91695EC8FD72}">
            <xm:f>VLOOKUP(C15,Calendars!$O$1:$U$398,MATCH($P$1,Calendars!$O$1:$U$1,0),FALSE)="Non Contract"</xm:f>
            <x14:dxf>
              <fill>
                <patternFill patternType="lightDown"/>
              </fill>
            </x14:dxf>
          </x14:cfRule>
          <xm:sqref>C14</xm:sqref>
        </x14:conditionalFormatting>
        <x14:conditionalFormatting xmlns:xm="http://schemas.microsoft.com/office/excel/2006/main">
          <x14:cfRule type="expression" priority="1570" id="{EACB5E8A-2E6C-4B95-9F5E-ACC6447799CC}">
            <xm:f>VLOOKUP(C15,Calendars!$O$1:$U$398,MATCH($P$1,Calendars!$O$1:$U$1,0),FALSE)=""</xm:f>
            <x14:dxf>
              <fill>
                <patternFill>
                  <bgColor rgb="FFFF0000"/>
                </patternFill>
              </fill>
            </x14:dxf>
          </x14:cfRule>
          <xm:sqref>C14</xm:sqref>
        </x14:conditionalFormatting>
        <x14:conditionalFormatting xmlns:xm="http://schemas.microsoft.com/office/excel/2006/main">
          <x14:cfRule type="expression" priority="1563" id="{B2EC8283-C7C5-47E3-9CD1-C8DC7EE44138}">
            <xm:f>AND(C14="",VLOOKUP(C15,Calendars!$O$1:$U$398,MATCH($X$1,Calendars!$O$1:$U$1,0),FALSE)="")</xm:f>
            <x14:dxf>
              <fill>
                <patternFill>
                  <bgColor rgb="FFFF0000"/>
                </patternFill>
              </fill>
            </x14:dxf>
          </x14:cfRule>
          <xm:sqref>C14</xm:sqref>
        </x14:conditionalFormatting>
        <x14:conditionalFormatting xmlns:xm="http://schemas.microsoft.com/office/excel/2006/main">
          <x14:cfRule type="expression" priority="1553" id="{D3473E27-E76A-4196-AED6-B024833540E3}">
            <xm:f>VLOOKUP(D15,Calendars!$O$1:$U$398,MATCH($P$1,Calendars!$O$1:$U$1,0),FALSE)="Holiday"</xm:f>
            <x14:dxf>
              <fill>
                <patternFill>
                  <bgColor rgb="FFFF99FF"/>
                </patternFill>
              </fill>
            </x14:dxf>
          </x14:cfRule>
          <x14:cfRule type="expression" priority="1554" id="{E8F5DF0C-BD89-43D2-B3D6-9B98D2B6B161}">
            <xm:f>VLOOKUP(D15,Calendars!$O$1:$U$398,MATCH($P$1,Calendars!$O$1:$U$1,0),FALSE)="Non Contract"</xm:f>
            <x14:dxf>
              <fill>
                <patternFill patternType="lightDown"/>
              </fill>
            </x14:dxf>
          </x14:cfRule>
          <xm:sqref>D14:G14</xm:sqref>
        </x14:conditionalFormatting>
        <x14:conditionalFormatting xmlns:xm="http://schemas.microsoft.com/office/excel/2006/main">
          <x14:cfRule type="expression" priority="1556" id="{9E812DBB-1F31-495A-8917-5BB5D93DFFB8}">
            <xm:f>VLOOKUP(D15,Calendars!$O$1:$U$398,MATCH($P$1,Calendars!$O$1:$U$1,0),FALSE)=""</xm:f>
            <x14:dxf>
              <fill>
                <patternFill>
                  <bgColor rgb="FFFF0000"/>
                </patternFill>
              </fill>
            </x14:dxf>
          </x14:cfRule>
          <xm:sqref>D14:G14</xm:sqref>
        </x14:conditionalFormatting>
        <x14:conditionalFormatting xmlns:xm="http://schemas.microsoft.com/office/excel/2006/main">
          <x14:cfRule type="expression" priority="1549" id="{0627E6BD-5C5F-46C7-ADF6-BC62B25F59A2}">
            <xm:f>AND(D14="",VLOOKUP(D15,Calendars!$O$1:$U$398,MATCH($X$1,Calendars!$O$1:$U$1,0),FALSE)="")</xm:f>
            <x14:dxf>
              <fill>
                <patternFill>
                  <bgColor rgb="FFFF0000"/>
                </patternFill>
              </fill>
            </x14:dxf>
          </x14:cfRule>
          <xm:sqref>D14:G14</xm:sqref>
        </x14:conditionalFormatting>
        <x14:conditionalFormatting xmlns:xm="http://schemas.microsoft.com/office/excel/2006/main">
          <x14:cfRule type="expression" priority="1539" id="{3F097982-320F-4657-8C5C-4218F2921219}">
            <xm:f>VLOOKUP(J7,Calendars!$O$1:$U$398,MATCH($P$1,Calendars!$O$1:$U$1,0),FALSE)="Holiday"</xm:f>
            <x14:dxf>
              <fill>
                <patternFill>
                  <bgColor rgb="FFFF99FF"/>
                </patternFill>
              </fill>
            </x14:dxf>
          </x14:cfRule>
          <x14:cfRule type="expression" priority="1540" id="{6378DEA1-6755-492A-99F2-7359EA44D985}">
            <xm:f>VLOOKUP(J7,Calendars!$O$1:$U$398,MATCH($P$1,Calendars!$O$1:$U$1,0),FALSE)="Non Contract"</xm:f>
            <x14:dxf>
              <fill>
                <patternFill patternType="lightDown"/>
              </fill>
            </x14:dxf>
          </x14:cfRule>
          <xm:sqref>J6</xm:sqref>
        </x14:conditionalFormatting>
        <x14:conditionalFormatting xmlns:xm="http://schemas.microsoft.com/office/excel/2006/main">
          <x14:cfRule type="expression" priority="1542" id="{0701D139-EF48-44FA-801F-07F8B96A59E4}">
            <xm:f>VLOOKUP(J7,Calendars!$O$1:$U$398,MATCH($P$1,Calendars!$O$1:$U$1,0),FALSE)=""</xm:f>
            <x14:dxf>
              <fill>
                <patternFill>
                  <bgColor rgb="FFFF0000"/>
                </patternFill>
              </fill>
            </x14:dxf>
          </x14:cfRule>
          <xm:sqref>J6</xm:sqref>
        </x14:conditionalFormatting>
        <x14:conditionalFormatting xmlns:xm="http://schemas.microsoft.com/office/excel/2006/main">
          <x14:cfRule type="expression" priority="1535" id="{A568220C-648C-4C1A-8723-04A75EF8E569}">
            <xm:f>AND(J6="",VLOOKUP(J7,Calendars!$O$1:$U$398,MATCH($X$1,Calendars!$O$1:$U$1,0),FALSE)="")</xm:f>
            <x14:dxf>
              <fill>
                <patternFill>
                  <bgColor rgb="FFFF0000"/>
                </patternFill>
              </fill>
            </x14:dxf>
          </x14:cfRule>
          <xm:sqref>J6</xm:sqref>
        </x14:conditionalFormatting>
        <x14:conditionalFormatting xmlns:xm="http://schemas.microsoft.com/office/excel/2006/main">
          <x14:cfRule type="expression" priority="1525" id="{3D77D002-3352-4DC0-BE1C-9BA89CD5BA01}">
            <xm:f>VLOOKUP(K7,Calendars!$O$1:$U$398,MATCH($P$1,Calendars!$O$1:$U$1,0),FALSE)="Holiday"</xm:f>
            <x14:dxf>
              <fill>
                <patternFill>
                  <bgColor rgb="FFFF99FF"/>
                </patternFill>
              </fill>
            </x14:dxf>
          </x14:cfRule>
          <x14:cfRule type="expression" priority="1526" id="{6F52CCE0-E05B-418F-8537-EF0F7580C69D}">
            <xm:f>VLOOKUP(K7,Calendars!$O$1:$U$398,MATCH($P$1,Calendars!$O$1:$U$1,0),FALSE)="Non Contract"</xm:f>
            <x14:dxf>
              <fill>
                <patternFill patternType="lightDown"/>
              </fill>
            </x14:dxf>
          </x14:cfRule>
          <xm:sqref>K6:N6</xm:sqref>
        </x14:conditionalFormatting>
        <x14:conditionalFormatting xmlns:xm="http://schemas.microsoft.com/office/excel/2006/main">
          <x14:cfRule type="expression" priority="1528" id="{D9BAEC36-8022-4BD5-B4F7-74ED925B7D2F}">
            <xm:f>VLOOKUP(K7,Calendars!$O$1:$U$398,MATCH($P$1,Calendars!$O$1:$U$1,0),FALSE)=""</xm:f>
            <x14:dxf>
              <fill>
                <patternFill>
                  <bgColor rgb="FFFF0000"/>
                </patternFill>
              </fill>
            </x14:dxf>
          </x14:cfRule>
          <xm:sqref>K6:N6</xm:sqref>
        </x14:conditionalFormatting>
        <x14:conditionalFormatting xmlns:xm="http://schemas.microsoft.com/office/excel/2006/main">
          <x14:cfRule type="expression" priority="1521" id="{C486C997-68A5-4F76-AEDD-17639E5A5B56}">
            <xm:f>AND(K6="",VLOOKUP(K7,Calendars!$O$1:$U$398,MATCH($X$1,Calendars!$O$1:$U$1,0),FALSE)="")</xm:f>
            <x14:dxf>
              <fill>
                <patternFill>
                  <bgColor rgb="FFFF0000"/>
                </patternFill>
              </fill>
            </x14:dxf>
          </x14:cfRule>
          <xm:sqref>K6:N6</xm:sqref>
        </x14:conditionalFormatting>
        <x14:conditionalFormatting xmlns:xm="http://schemas.microsoft.com/office/excel/2006/main">
          <x14:cfRule type="expression" priority="1511" id="{CD9E1237-833A-41F3-85C0-FE39139185AE}">
            <xm:f>VLOOKUP(J9,Calendars!$O$1:$U$398,MATCH($P$1,Calendars!$O$1:$U$1,0),FALSE)="Holiday"</xm:f>
            <x14:dxf>
              <fill>
                <patternFill>
                  <bgColor rgb="FFFF99FF"/>
                </patternFill>
              </fill>
            </x14:dxf>
          </x14:cfRule>
          <x14:cfRule type="expression" priority="1512" id="{92E6157A-ADD8-4271-A16B-35BBD430424C}">
            <xm:f>VLOOKUP(J9,Calendars!$O$1:$U$398,MATCH($P$1,Calendars!$O$1:$U$1,0),FALSE)="Non Contract"</xm:f>
            <x14:dxf>
              <fill>
                <patternFill patternType="lightDown"/>
              </fill>
            </x14:dxf>
          </x14:cfRule>
          <xm:sqref>J8</xm:sqref>
        </x14:conditionalFormatting>
        <x14:conditionalFormatting xmlns:xm="http://schemas.microsoft.com/office/excel/2006/main">
          <x14:cfRule type="expression" priority="1514" id="{D2B57C51-A521-49DE-BFB7-094154A72E6D}">
            <xm:f>VLOOKUP(J9,Calendars!$O$1:$U$398,MATCH($P$1,Calendars!$O$1:$U$1,0),FALSE)=""</xm:f>
            <x14:dxf>
              <fill>
                <patternFill>
                  <bgColor rgb="FFFF0000"/>
                </patternFill>
              </fill>
            </x14:dxf>
          </x14:cfRule>
          <xm:sqref>J8</xm:sqref>
        </x14:conditionalFormatting>
        <x14:conditionalFormatting xmlns:xm="http://schemas.microsoft.com/office/excel/2006/main">
          <x14:cfRule type="expression" priority="1507" id="{8A4CB80F-09BB-4459-81C8-5F7BD91F4720}">
            <xm:f>AND(J8="",VLOOKUP(J9,Calendars!$O$1:$U$398,MATCH($X$1,Calendars!$O$1:$U$1,0),FALSE)="")</xm:f>
            <x14:dxf>
              <fill>
                <patternFill>
                  <bgColor rgb="FFFF0000"/>
                </patternFill>
              </fill>
            </x14:dxf>
          </x14:cfRule>
          <xm:sqref>J8</xm:sqref>
        </x14:conditionalFormatting>
        <x14:conditionalFormatting xmlns:xm="http://schemas.microsoft.com/office/excel/2006/main">
          <x14:cfRule type="expression" priority="1497" id="{4DAD3255-2EF8-40B2-A695-F1B8AB3DAF2C}">
            <xm:f>VLOOKUP(K9,Calendars!$O$1:$U$398,MATCH($P$1,Calendars!$O$1:$U$1,0),FALSE)="Holiday"</xm:f>
            <x14:dxf>
              <fill>
                <patternFill>
                  <bgColor rgb="FFFF99FF"/>
                </patternFill>
              </fill>
            </x14:dxf>
          </x14:cfRule>
          <x14:cfRule type="expression" priority="1498" id="{35ACDFAE-3035-418F-BF09-DAF23CF416CF}">
            <xm:f>VLOOKUP(K9,Calendars!$O$1:$U$398,MATCH($P$1,Calendars!$O$1:$U$1,0),FALSE)="Non Contract"</xm:f>
            <x14:dxf>
              <fill>
                <patternFill patternType="lightDown"/>
              </fill>
            </x14:dxf>
          </x14:cfRule>
          <xm:sqref>K8:N8</xm:sqref>
        </x14:conditionalFormatting>
        <x14:conditionalFormatting xmlns:xm="http://schemas.microsoft.com/office/excel/2006/main">
          <x14:cfRule type="expression" priority="1500" id="{EB446AEE-02FA-4645-81B6-B90AF65304DE}">
            <xm:f>VLOOKUP(K9,Calendars!$O$1:$U$398,MATCH($P$1,Calendars!$O$1:$U$1,0),FALSE)=""</xm:f>
            <x14:dxf>
              <fill>
                <patternFill>
                  <bgColor rgb="FFFF0000"/>
                </patternFill>
              </fill>
            </x14:dxf>
          </x14:cfRule>
          <xm:sqref>K8:N8</xm:sqref>
        </x14:conditionalFormatting>
        <x14:conditionalFormatting xmlns:xm="http://schemas.microsoft.com/office/excel/2006/main">
          <x14:cfRule type="expression" priority="1493" id="{D606A742-0AA1-4AF3-9F12-B05EA78A68A4}">
            <xm:f>AND(K8="",VLOOKUP(K9,Calendars!$O$1:$U$398,MATCH($X$1,Calendars!$O$1:$U$1,0),FALSE)="")</xm:f>
            <x14:dxf>
              <fill>
                <patternFill>
                  <bgColor rgb="FFFF0000"/>
                </patternFill>
              </fill>
            </x14:dxf>
          </x14:cfRule>
          <xm:sqref>K8:N8</xm:sqref>
        </x14:conditionalFormatting>
        <x14:conditionalFormatting xmlns:xm="http://schemas.microsoft.com/office/excel/2006/main">
          <x14:cfRule type="expression" priority="1483" id="{77001D31-3587-4E8E-91EF-468AA9F9E3FF}">
            <xm:f>VLOOKUP(J11,Calendars!$O$1:$U$398,MATCH($P$1,Calendars!$O$1:$U$1,0),FALSE)="Holiday"</xm:f>
            <x14:dxf>
              <fill>
                <patternFill>
                  <bgColor rgb="FFFF99FF"/>
                </patternFill>
              </fill>
            </x14:dxf>
          </x14:cfRule>
          <x14:cfRule type="expression" priority="1484" id="{4B263BDE-9A1A-4B9A-AE92-312278ED0887}">
            <xm:f>VLOOKUP(J11,Calendars!$O$1:$U$398,MATCH($P$1,Calendars!$O$1:$U$1,0),FALSE)="Non Contract"</xm:f>
            <x14:dxf>
              <fill>
                <patternFill patternType="lightDown"/>
              </fill>
            </x14:dxf>
          </x14:cfRule>
          <xm:sqref>J10</xm:sqref>
        </x14:conditionalFormatting>
        <x14:conditionalFormatting xmlns:xm="http://schemas.microsoft.com/office/excel/2006/main">
          <x14:cfRule type="expression" priority="1486" id="{2776342E-4D80-450A-975A-B9ACE14121A3}">
            <xm:f>VLOOKUP(J11,Calendars!$O$1:$U$398,MATCH($P$1,Calendars!$O$1:$U$1,0),FALSE)=""</xm:f>
            <x14:dxf>
              <fill>
                <patternFill>
                  <bgColor rgb="FFFF0000"/>
                </patternFill>
              </fill>
            </x14:dxf>
          </x14:cfRule>
          <xm:sqref>J10</xm:sqref>
        </x14:conditionalFormatting>
        <x14:conditionalFormatting xmlns:xm="http://schemas.microsoft.com/office/excel/2006/main">
          <x14:cfRule type="expression" priority="1479" id="{77CD8AAA-172F-4790-94EE-55D9F36729A8}">
            <xm:f>AND(J10="",VLOOKUP(J11,Calendars!$O$1:$U$398,MATCH($X$1,Calendars!$O$1:$U$1,0),FALSE)="")</xm:f>
            <x14:dxf>
              <fill>
                <patternFill>
                  <bgColor rgb="FFFF0000"/>
                </patternFill>
              </fill>
            </x14:dxf>
          </x14:cfRule>
          <xm:sqref>J10</xm:sqref>
        </x14:conditionalFormatting>
        <x14:conditionalFormatting xmlns:xm="http://schemas.microsoft.com/office/excel/2006/main">
          <x14:cfRule type="expression" priority="1469" id="{762BD8C6-55FF-4CDF-BFD7-774EFF0CDE5E}">
            <xm:f>VLOOKUP(K11,Calendars!$O$1:$U$398,MATCH($P$1,Calendars!$O$1:$U$1,0),FALSE)="Holiday"</xm:f>
            <x14:dxf>
              <fill>
                <patternFill>
                  <bgColor rgb="FFFF99FF"/>
                </patternFill>
              </fill>
            </x14:dxf>
          </x14:cfRule>
          <x14:cfRule type="expression" priority="1470" id="{CC9D7668-7A97-424E-A6AC-4ADB33BFC4CD}">
            <xm:f>VLOOKUP(K11,Calendars!$O$1:$U$398,MATCH($P$1,Calendars!$O$1:$U$1,0),FALSE)="Non Contract"</xm:f>
            <x14:dxf>
              <fill>
                <patternFill patternType="lightDown"/>
              </fill>
            </x14:dxf>
          </x14:cfRule>
          <xm:sqref>K10:N10</xm:sqref>
        </x14:conditionalFormatting>
        <x14:conditionalFormatting xmlns:xm="http://schemas.microsoft.com/office/excel/2006/main">
          <x14:cfRule type="expression" priority="1472" id="{71F74C82-BE70-4F5F-A8CE-89E35938B019}">
            <xm:f>VLOOKUP(K11,Calendars!$O$1:$U$398,MATCH($P$1,Calendars!$O$1:$U$1,0),FALSE)=""</xm:f>
            <x14:dxf>
              <fill>
                <patternFill>
                  <bgColor rgb="FFFF0000"/>
                </patternFill>
              </fill>
            </x14:dxf>
          </x14:cfRule>
          <xm:sqref>K10:N10</xm:sqref>
        </x14:conditionalFormatting>
        <x14:conditionalFormatting xmlns:xm="http://schemas.microsoft.com/office/excel/2006/main">
          <x14:cfRule type="expression" priority="1465" id="{1329CE85-0F3A-41E5-A193-084CF5298FFA}">
            <xm:f>AND(K10="",VLOOKUP(K11,Calendars!$O$1:$U$398,MATCH($X$1,Calendars!$O$1:$U$1,0),FALSE)="")</xm:f>
            <x14:dxf>
              <fill>
                <patternFill>
                  <bgColor rgb="FFFF0000"/>
                </patternFill>
              </fill>
            </x14:dxf>
          </x14:cfRule>
          <xm:sqref>K10:N10</xm:sqref>
        </x14:conditionalFormatting>
        <x14:conditionalFormatting xmlns:xm="http://schemas.microsoft.com/office/excel/2006/main">
          <x14:cfRule type="expression" priority="1455" id="{50323E24-0891-4C60-8535-FE5F23D81A7C}">
            <xm:f>VLOOKUP(J13,Calendars!$O$1:$U$398,MATCH($P$1,Calendars!$O$1:$U$1,0),FALSE)="Holiday"</xm:f>
            <x14:dxf>
              <fill>
                <patternFill>
                  <bgColor rgb="FFFF99FF"/>
                </patternFill>
              </fill>
            </x14:dxf>
          </x14:cfRule>
          <x14:cfRule type="expression" priority="1456" id="{DCF56D07-06B3-4FF2-8D6A-4B08E224DEDA}">
            <xm:f>VLOOKUP(J13,Calendars!$O$1:$U$398,MATCH($P$1,Calendars!$O$1:$U$1,0),FALSE)="Non Contract"</xm:f>
            <x14:dxf>
              <fill>
                <patternFill patternType="lightDown"/>
              </fill>
            </x14:dxf>
          </x14:cfRule>
          <xm:sqref>J12</xm:sqref>
        </x14:conditionalFormatting>
        <x14:conditionalFormatting xmlns:xm="http://schemas.microsoft.com/office/excel/2006/main">
          <x14:cfRule type="expression" priority="1458" id="{BA1A6390-96ED-4D58-969F-B4CD9A9468B8}">
            <xm:f>VLOOKUP(J13,Calendars!$O$1:$U$398,MATCH($P$1,Calendars!$O$1:$U$1,0),FALSE)=""</xm:f>
            <x14:dxf>
              <fill>
                <patternFill>
                  <bgColor rgb="FFFF0000"/>
                </patternFill>
              </fill>
            </x14:dxf>
          </x14:cfRule>
          <xm:sqref>J12</xm:sqref>
        </x14:conditionalFormatting>
        <x14:conditionalFormatting xmlns:xm="http://schemas.microsoft.com/office/excel/2006/main">
          <x14:cfRule type="expression" priority="1451" id="{75D526EB-8DD3-4561-B521-B10F023F13C2}">
            <xm:f>AND(J12="",VLOOKUP(J13,Calendars!$O$1:$U$398,MATCH($X$1,Calendars!$O$1:$U$1,0),FALSE)="")</xm:f>
            <x14:dxf>
              <fill>
                <patternFill>
                  <bgColor rgb="FFFF0000"/>
                </patternFill>
              </fill>
            </x14:dxf>
          </x14:cfRule>
          <xm:sqref>J12</xm:sqref>
        </x14:conditionalFormatting>
        <x14:conditionalFormatting xmlns:xm="http://schemas.microsoft.com/office/excel/2006/main">
          <x14:cfRule type="expression" priority="1441" id="{1D720126-63F9-42A1-BE3A-61302042AE13}">
            <xm:f>VLOOKUP(K13,Calendars!$O$1:$U$398,MATCH($P$1,Calendars!$O$1:$U$1,0),FALSE)="Holiday"</xm:f>
            <x14:dxf>
              <fill>
                <patternFill>
                  <bgColor rgb="FFFF99FF"/>
                </patternFill>
              </fill>
            </x14:dxf>
          </x14:cfRule>
          <x14:cfRule type="expression" priority="1442" id="{7A90C570-1757-4F4A-A440-9E27246D0FC0}">
            <xm:f>VLOOKUP(K13,Calendars!$O$1:$U$398,MATCH($P$1,Calendars!$O$1:$U$1,0),FALSE)="Non Contract"</xm:f>
            <x14:dxf>
              <fill>
                <patternFill patternType="lightDown"/>
              </fill>
            </x14:dxf>
          </x14:cfRule>
          <xm:sqref>K12:N12</xm:sqref>
        </x14:conditionalFormatting>
        <x14:conditionalFormatting xmlns:xm="http://schemas.microsoft.com/office/excel/2006/main">
          <x14:cfRule type="expression" priority="1444" id="{FA440ABA-6952-420C-9820-F007702B0E9C}">
            <xm:f>VLOOKUP(K13,Calendars!$O$1:$U$398,MATCH($P$1,Calendars!$O$1:$U$1,0),FALSE)=""</xm:f>
            <x14:dxf>
              <fill>
                <patternFill>
                  <bgColor rgb="FFFF0000"/>
                </patternFill>
              </fill>
            </x14:dxf>
          </x14:cfRule>
          <xm:sqref>K12:N12</xm:sqref>
        </x14:conditionalFormatting>
        <x14:conditionalFormatting xmlns:xm="http://schemas.microsoft.com/office/excel/2006/main">
          <x14:cfRule type="expression" priority="1437" id="{C83CC938-227B-439F-B683-CEF18FE57442}">
            <xm:f>AND(K12="",VLOOKUP(K13,Calendars!$O$1:$U$398,MATCH($X$1,Calendars!$O$1:$U$1,0),FALSE)="")</xm:f>
            <x14:dxf>
              <fill>
                <patternFill>
                  <bgColor rgb="FFFF0000"/>
                </patternFill>
              </fill>
            </x14:dxf>
          </x14:cfRule>
          <xm:sqref>K12:N12</xm:sqref>
        </x14:conditionalFormatting>
        <x14:conditionalFormatting xmlns:xm="http://schemas.microsoft.com/office/excel/2006/main">
          <x14:cfRule type="expression" priority="1427" id="{3D5B0C4A-F25D-4C11-B91B-C03894ED791A}">
            <xm:f>VLOOKUP(J15,Calendars!$O$1:$U$398,MATCH($P$1,Calendars!$O$1:$U$1,0),FALSE)="Holiday"</xm:f>
            <x14:dxf>
              <fill>
                <patternFill>
                  <bgColor rgb="FFFF99FF"/>
                </patternFill>
              </fill>
            </x14:dxf>
          </x14:cfRule>
          <x14:cfRule type="expression" priority="1428" id="{60CD282A-E127-4C35-A60A-568477D7A881}">
            <xm:f>VLOOKUP(J15,Calendars!$O$1:$U$398,MATCH($P$1,Calendars!$O$1:$U$1,0),FALSE)="Non Contract"</xm:f>
            <x14:dxf>
              <fill>
                <patternFill patternType="lightDown"/>
              </fill>
            </x14:dxf>
          </x14:cfRule>
          <xm:sqref>J14</xm:sqref>
        </x14:conditionalFormatting>
        <x14:conditionalFormatting xmlns:xm="http://schemas.microsoft.com/office/excel/2006/main">
          <x14:cfRule type="expression" priority="1430" id="{696DBA31-7C22-4F96-B1EA-F9564DB4938C}">
            <xm:f>VLOOKUP(J15,Calendars!$O$1:$U$398,MATCH($P$1,Calendars!$O$1:$U$1,0),FALSE)=""</xm:f>
            <x14:dxf>
              <fill>
                <patternFill>
                  <bgColor rgb="FFFF0000"/>
                </patternFill>
              </fill>
            </x14:dxf>
          </x14:cfRule>
          <xm:sqref>J14</xm:sqref>
        </x14:conditionalFormatting>
        <x14:conditionalFormatting xmlns:xm="http://schemas.microsoft.com/office/excel/2006/main">
          <x14:cfRule type="expression" priority="1423" id="{623C84F3-C782-4E49-8796-38DA29CDB332}">
            <xm:f>AND(J14="",VLOOKUP(J15,Calendars!$O$1:$U$398,MATCH($X$1,Calendars!$O$1:$U$1,0),FALSE)="")</xm:f>
            <x14:dxf>
              <fill>
                <patternFill>
                  <bgColor rgb="FFFF0000"/>
                </patternFill>
              </fill>
            </x14:dxf>
          </x14:cfRule>
          <xm:sqref>J14</xm:sqref>
        </x14:conditionalFormatting>
        <x14:conditionalFormatting xmlns:xm="http://schemas.microsoft.com/office/excel/2006/main">
          <x14:cfRule type="expression" priority="1413" id="{18C9110F-3CD2-4F2D-81EC-12F89043B814}">
            <xm:f>VLOOKUP(K15,Calendars!$O$1:$U$398,MATCH($P$1,Calendars!$O$1:$U$1,0),FALSE)="Holiday"</xm:f>
            <x14:dxf>
              <fill>
                <patternFill>
                  <bgColor rgb="FFFF99FF"/>
                </patternFill>
              </fill>
            </x14:dxf>
          </x14:cfRule>
          <x14:cfRule type="expression" priority="1414" id="{06A93CFC-96D9-4A61-917C-025D35C2831D}">
            <xm:f>VLOOKUP(K15,Calendars!$O$1:$U$398,MATCH($P$1,Calendars!$O$1:$U$1,0),FALSE)="Non Contract"</xm:f>
            <x14:dxf>
              <fill>
                <patternFill patternType="lightDown"/>
              </fill>
            </x14:dxf>
          </x14:cfRule>
          <xm:sqref>K14:N14</xm:sqref>
        </x14:conditionalFormatting>
        <x14:conditionalFormatting xmlns:xm="http://schemas.microsoft.com/office/excel/2006/main">
          <x14:cfRule type="expression" priority="1416" id="{DDFBC190-04F3-4BF4-BF72-17855F347A42}">
            <xm:f>VLOOKUP(K15,Calendars!$O$1:$U$398,MATCH($P$1,Calendars!$O$1:$U$1,0),FALSE)=""</xm:f>
            <x14:dxf>
              <fill>
                <patternFill>
                  <bgColor rgb="FFFF0000"/>
                </patternFill>
              </fill>
            </x14:dxf>
          </x14:cfRule>
          <xm:sqref>K14:N14</xm:sqref>
        </x14:conditionalFormatting>
        <x14:conditionalFormatting xmlns:xm="http://schemas.microsoft.com/office/excel/2006/main">
          <x14:cfRule type="expression" priority="1409" id="{E4D04327-9835-4DA5-9BE1-4D72B20A592A}">
            <xm:f>AND(K14="",VLOOKUP(K15,Calendars!$O$1:$U$398,MATCH($X$1,Calendars!$O$1:$U$1,0),FALSE)="")</xm:f>
            <x14:dxf>
              <fill>
                <patternFill>
                  <bgColor rgb="FFFF0000"/>
                </patternFill>
              </fill>
            </x14:dxf>
          </x14:cfRule>
          <xm:sqref>K14:N14</xm:sqref>
        </x14:conditionalFormatting>
        <x14:conditionalFormatting xmlns:xm="http://schemas.microsoft.com/office/excel/2006/main">
          <x14:cfRule type="expression" priority="1399" id="{BCC79524-CC9F-4AF0-A5D0-6F5E3A6AF7EE}">
            <xm:f>VLOOKUP(Q7,Calendars!$O$1:$U$398,MATCH($P$1,Calendars!$O$1:$U$1,0),FALSE)="Holiday"</xm:f>
            <x14:dxf>
              <fill>
                <patternFill>
                  <bgColor rgb="FFFF99FF"/>
                </patternFill>
              </fill>
            </x14:dxf>
          </x14:cfRule>
          <x14:cfRule type="expression" priority="1400" id="{4684A008-6A80-40DD-96F7-0EBB87EFD1B2}">
            <xm:f>VLOOKUP(Q7,Calendars!$O$1:$U$398,MATCH($P$1,Calendars!$O$1:$U$1,0),FALSE)="Non Contract"</xm:f>
            <x14:dxf>
              <fill>
                <patternFill patternType="lightDown"/>
              </fill>
            </x14:dxf>
          </x14:cfRule>
          <xm:sqref>Q6</xm:sqref>
        </x14:conditionalFormatting>
        <x14:conditionalFormatting xmlns:xm="http://schemas.microsoft.com/office/excel/2006/main">
          <x14:cfRule type="expression" priority="1402" id="{7CC30209-B4E5-4C4F-A008-A7DBF5C74BF6}">
            <xm:f>VLOOKUP(Q7,Calendars!$O$1:$U$398,MATCH($P$1,Calendars!$O$1:$U$1,0),FALSE)=""</xm:f>
            <x14:dxf>
              <fill>
                <patternFill>
                  <bgColor rgb="FFFF0000"/>
                </patternFill>
              </fill>
            </x14:dxf>
          </x14:cfRule>
          <xm:sqref>Q6</xm:sqref>
        </x14:conditionalFormatting>
        <x14:conditionalFormatting xmlns:xm="http://schemas.microsoft.com/office/excel/2006/main">
          <x14:cfRule type="expression" priority="1395" id="{8561E174-C1AD-474E-9C05-678F2F1A37AF}">
            <xm:f>AND(Q6="",VLOOKUP(Q7,Calendars!$O$1:$U$398,MATCH($X$1,Calendars!$O$1:$U$1,0),FALSE)="")</xm:f>
            <x14:dxf>
              <fill>
                <patternFill>
                  <bgColor rgb="FFFF0000"/>
                </patternFill>
              </fill>
            </x14:dxf>
          </x14:cfRule>
          <xm:sqref>Q6</xm:sqref>
        </x14:conditionalFormatting>
        <x14:conditionalFormatting xmlns:xm="http://schemas.microsoft.com/office/excel/2006/main">
          <x14:cfRule type="expression" priority="1385" id="{798CAF78-220E-45DB-AD7B-FB64CFD84EF4}">
            <xm:f>VLOOKUP(R7,Calendars!$O$1:$U$398,MATCH($P$1,Calendars!$O$1:$U$1,0),FALSE)="Holiday"</xm:f>
            <x14:dxf>
              <fill>
                <patternFill>
                  <bgColor rgb="FFFF99FF"/>
                </patternFill>
              </fill>
            </x14:dxf>
          </x14:cfRule>
          <x14:cfRule type="expression" priority="1386" id="{E7B416C2-697B-43A4-B987-5EDFF1960BB6}">
            <xm:f>VLOOKUP(R7,Calendars!$O$1:$U$398,MATCH($P$1,Calendars!$O$1:$U$1,0),FALSE)="Non Contract"</xm:f>
            <x14:dxf>
              <fill>
                <patternFill patternType="lightDown"/>
              </fill>
            </x14:dxf>
          </x14:cfRule>
          <xm:sqref>R6:U6</xm:sqref>
        </x14:conditionalFormatting>
        <x14:conditionalFormatting xmlns:xm="http://schemas.microsoft.com/office/excel/2006/main">
          <x14:cfRule type="expression" priority="1388" id="{9B3A849C-A291-4438-833A-30EE375A6446}">
            <xm:f>VLOOKUP(R7,Calendars!$O$1:$U$398,MATCH($P$1,Calendars!$O$1:$U$1,0),FALSE)=""</xm:f>
            <x14:dxf>
              <fill>
                <patternFill>
                  <bgColor rgb="FFFF0000"/>
                </patternFill>
              </fill>
            </x14:dxf>
          </x14:cfRule>
          <xm:sqref>R6:U6</xm:sqref>
        </x14:conditionalFormatting>
        <x14:conditionalFormatting xmlns:xm="http://schemas.microsoft.com/office/excel/2006/main">
          <x14:cfRule type="expression" priority="1381" id="{8B0D91D1-50C5-4587-8512-C5504E0CE732}">
            <xm:f>AND(R6="",VLOOKUP(R7,Calendars!$O$1:$U$398,MATCH($X$1,Calendars!$O$1:$U$1,0),FALSE)="")</xm:f>
            <x14:dxf>
              <fill>
                <patternFill>
                  <bgColor rgb="FFFF0000"/>
                </patternFill>
              </fill>
            </x14:dxf>
          </x14:cfRule>
          <xm:sqref>R6:U6</xm:sqref>
        </x14:conditionalFormatting>
        <x14:conditionalFormatting xmlns:xm="http://schemas.microsoft.com/office/excel/2006/main">
          <x14:cfRule type="expression" priority="1371" id="{95F2B755-6630-4AFB-B3ED-B1691D080048}">
            <xm:f>VLOOKUP(Q9,Calendars!$O$1:$U$398,MATCH($P$1,Calendars!$O$1:$U$1,0),FALSE)="Holiday"</xm:f>
            <x14:dxf>
              <fill>
                <patternFill>
                  <bgColor rgb="FFFF99FF"/>
                </patternFill>
              </fill>
            </x14:dxf>
          </x14:cfRule>
          <x14:cfRule type="expression" priority="1372" id="{48E10157-3629-4F72-A842-C4CB6B629A58}">
            <xm:f>VLOOKUP(Q9,Calendars!$O$1:$U$398,MATCH($P$1,Calendars!$O$1:$U$1,0),FALSE)="Non Contract"</xm:f>
            <x14:dxf>
              <fill>
                <patternFill patternType="lightDown"/>
              </fill>
            </x14:dxf>
          </x14:cfRule>
          <xm:sqref>Q8</xm:sqref>
        </x14:conditionalFormatting>
        <x14:conditionalFormatting xmlns:xm="http://schemas.microsoft.com/office/excel/2006/main">
          <x14:cfRule type="expression" priority="1374" id="{47856246-99B9-4DA3-87EE-332E1F555346}">
            <xm:f>VLOOKUP(Q9,Calendars!$O$1:$U$398,MATCH($P$1,Calendars!$O$1:$U$1,0),FALSE)=""</xm:f>
            <x14:dxf>
              <fill>
                <patternFill>
                  <bgColor rgb="FFFF0000"/>
                </patternFill>
              </fill>
            </x14:dxf>
          </x14:cfRule>
          <xm:sqref>Q8</xm:sqref>
        </x14:conditionalFormatting>
        <x14:conditionalFormatting xmlns:xm="http://schemas.microsoft.com/office/excel/2006/main">
          <x14:cfRule type="expression" priority="1367" id="{1168EC9D-1D0E-491B-AF3E-35744D8244B5}">
            <xm:f>AND(Q8="",VLOOKUP(Q9,Calendars!$O$1:$U$398,MATCH($X$1,Calendars!$O$1:$U$1,0),FALSE)="")</xm:f>
            <x14:dxf>
              <fill>
                <patternFill>
                  <bgColor rgb="FFFF0000"/>
                </patternFill>
              </fill>
            </x14:dxf>
          </x14:cfRule>
          <xm:sqref>Q8</xm:sqref>
        </x14:conditionalFormatting>
        <x14:conditionalFormatting xmlns:xm="http://schemas.microsoft.com/office/excel/2006/main">
          <x14:cfRule type="expression" priority="1357" id="{DBEBF325-AEE1-477A-9263-CDA1230BB268}">
            <xm:f>VLOOKUP(R9,Calendars!$O$1:$U$398,MATCH($P$1,Calendars!$O$1:$U$1,0),FALSE)="Holiday"</xm:f>
            <x14:dxf>
              <fill>
                <patternFill>
                  <bgColor rgb="FFFF99FF"/>
                </patternFill>
              </fill>
            </x14:dxf>
          </x14:cfRule>
          <x14:cfRule type="expression" priority="1358" id="{B3184C3F-099B-4CB1-8293-A48C0875569F}">
            <xm:f>VLOOKUP(R9,Calendars!$O$1:$U$398,MATCH($P$1,Calendars!$O$1:$U$1,0),FALSE)="Non Contract"</xm:f>
            <x14:dxf>
              <fill>
                <patternFill patternType="lightDown"/>
              </fill>
            </x14:dxf>
          </x14:cfRule>
          <xm:sqref>R8:U8</xm:sqref>
        </x14:conditionalFormatting>
        <x14:conditionalFormatting xmlns:xm="http://schemas.microsoft.com/office/excel/2006/main">
          <x14:cfRule type="expression" priority="1360" id="{99C36EBF-BAE1-4B3B-A52A-29B5114429D0}">
            <xm:f>VLOOKUP(R9,Calendars!$O$1:$U$398,MATCH($P$1,Calendars!$O$1:$U$1,0),FALSE)=""</xm:f>
            <x14:dxf>
              <fill>
                <patternFill>
                  <bgColor rgb="FFFF0000"/>
                </patternFill>
              </fill>
            </x14:dxf>
          </x14:cfRule>
          <xm:sqref>R8:U8</xm:sqref>
        </x14:conditionalFormatting>
        <x14:conditionalFormatting xmlns:xm="http://schemas.microsoft.com/office/excel/2006/main">
          <x14:cfRule type="expression" priority="1353" id="{F2F9B142-7BD3-4533-9000-9E9DF811554E}">
            <xm:f>AND(R8="",VLOOKUP(R9,Calendars!$O$1:$U$398,MATCH($X$1,Calendars!$O$1:$U$1,0),FALSE)="")</xm:f>
            <x14:dxf>
              <fill>
                <patternFill>
                  <bgColor rgb="FFFF0000"/>
                </patternFill>
              </fill>
            </x14:dxf>
          </x14:cfRule>
          <xm:sqref>R8:U8</xm:sqref>
        </x14:conditionalFormatting>
        <x14:conditionalFormatting xmlns:xm="http://schemas.microsoft.com/office/excel/2006/main">
          <x14:cfRule type="expression" priority="1343" id="{9581FDE8-033B-47DD-9E5F-67AD094AF5B2}">
            <xm:f>VLOOKUP(Q11,Calendars!$O$1:$U$398,MATCH($P$1,Calendars!$O$1:$U$1,0),FALSE)="Holiday"</xm:f>
            <x14:dxf>
              <fill>
                <patternFill>
                  <bgColor rgb="FFFF99FF"/>
                </patternFill>
              </fill>
            </x14:dxf>
          </x14:cfRule>
          <x14:cfRule type="expression" priority="1344" id="{460DD240-F199-40D6-8FEB-31F007A9A7FB}">
            <xm:f>VLOOKUP(Q11,Calendars!$O$1:$U$398,MATCH($P$1,Calendars!$O$1:$U$1,0),FALSE)="Non Contract"</xm:f>
            <x14:dxf>
              <fill>
                <patternFill patternType="lightDown"/>
              </fill>
            </x14:dxf>
          </x14:cfRule>
          <xm:sqref>Q10</xm:sqref>
        </x14:conditionalFormatting>
        <x14:conditionalFormatting xmlns:xm="http://schemas.microsoft.com/office/excel/2006/main">
          <x14:cfRule type="expression" priority="1346" id="{952F3709-7797-4D28-9D2D-1FB36D2CF4E2}">
            <xm:f>VLOOKUP(Q11,Calendars!$O$1:$U$398,MATCH($P$1,Calendars!$O$1:$U$1,0),FALSE)=""</xm:f>
            <x14:dxf>
              <fill>
                <patternFill>
                  <bgColor rgb="FFFF0000"/>
                </patternFill>
              </fill>
            </x14:dxf>
          </x14:cfRule>
          <xm:sqref>Q10</xm:sqref>
        </x14:conditionalFormatting>
        <x14:conditionalFormatting xmlns:xm="http://schemas.microsoft.com/office/excel/2006/main">
          <x14:cfRule type="expression" priority="1339" id="{2653E8C1-6EC1-47B9-AAF9-BD81C8003D1C}">
            <xm:f>AND(Q10="",VLOOKUP(Q11,Calendars!$O$1:$U$398,MATCH($X$1,Calendars!$O$1:$U$1,0),FALSE)="")</xm:f>
            <x14:dxf>
              <fill>
                <patternFill>
                  <bgColor rgb="FFFF0000"/>
                </patternFill>
              </fill>
            </x14:dxf>
          </x14:cfRule>
          <xm:sqref>Q10</xm:sqref>
        </x14:conditionalFormatting>
        <x14:conditionalFormatting xmlns:xm="http://schemas.microsoft.com/office/excel/2006/main">
          <x14:cfRule type="expression" priority="1329" id="{8D90847B-500A-4B76-8F4E-5CFF31E8E00B}">
            <xm:f>VLOOKUP(R11,Calendars!$O$1:$U$398,MATCH($P$1,Calendars!$O$1:$U$1,0),FALSE)="Holiday"</xm:f>
            <x14:dxf>
              <fill>
                <patternFill>
                  <bgColor rgb="FFFF99FF"/>
                </patternFill>
              </fill>
            </x14:dxf>
          </x14:cfRule>
          <x14:cfRule type="expression" priority="1330" id="{E9163C7E-E069-46BB-ABE8-79C3ED076BFF}">
            <xm:f>VLOOKUP(R11,Calendars!$O$1:$U$398,MATCH($P$1,Calendars!$O$1:$U$1,0),FALSE)="Non Contract"</xm:f>
            <x14:dxf>
              <fill>
                <patternFill patternType="lightDown"/>
              </fill>
            </x14:dxf>
          </x14:cfRule>
          <xm:sqref>R10:U10</xm:sqref>
        </x14:conditionalFormatting>
        <x14:conditionalFormatting xmlns:xm="http://schemas.microsoft.com/office/excel/2006/main">
          <x14:cfRule type="expression" priority="1332" id="{538099B2-D7E0-4F8E-9D43-A5ABA997D320}">
            <xm:f>VLOOKUP(R11,Calendars!$O$1:$U$398,MATCH($P$1,Calendars!$O$1:$U$1,0),FALSE)=""</xm:f>
            <x14:dxf>
              <fill>
                <patternFill>
                  <bgColor rgb="FFFF0000"/>
                </patternFill>
              </fill>
            </x14:dxf>
          </x14:cfRule>
          <xm:sqref>R10:U10</xm:sqref>
        </x14:conditionalFormatting>
        <x14:conditionalFormatting xmlns:xm="http://schemas.microsoft.com/office/excel/2006/main">
          <x14:cfRule type="expression" priority="1325" id="{EEA781F4-9118-4A01-83E6-08E249100F4B}">
            <xm:f>AND(R10="",VLOOKUP(R11,Calendars!$O$1:$U$398,MATCH($X$1,Calendars!$O$1:$U$1,0),FALSE)="")</xm:f>
            <x14:dxf>
              <fill>
                <patternFill>
                  <bgColor rgb="FFFF0000"/>
                </patternFill>
              </fill>
            </x14:dxf>
          </x14:cfRule>
          <xm:sqref>R10:U10</xm:sqref>
        </x14:conditionalFormatting>
        <x14:conditionalFormatting xmlns:xm="http://schemas.microsoft.com/office/excel/2006/main">
          <x14:cfRule type="expression" priority="1315" id="{687650A5-3B8B-43C6-AB91-BFE669841E29}">
            <xm:f>VLOOKUP(Q13,Calendars!$O$1:$U$398,MATCH($P$1,Calendars!$O$1:$U$1,0),FALSE)="Holiday"</xm:f>
            <x14:dxf>
              <fill>
                <patternFill>
                  <bgColor rgb="FFFF99FF"/>
                </patternFill>
              </fill>
            </x14:dxf>
          </x14:cfRule>
          <x14:cfRule type="expression" priority="1316" id="{217962F4-FB41-47A5-AC9A-FFEF3382A22F}">
            <xm:f>VLOOKUP(Q13,Calendars!$O$1:$U$398,MATCH($P$1,Calendars!$O$1:$U$1,0),FALSE)="Non Contract"</xm:f>
            <x14:dxf>
              <fill>
                <patternFill patternType="lightDown"/>
              </fill>
            </x14:dxf>
          </x14:cfRule>
          <xm:sqref>Q12</xm:sqref>
        </x14:conditionalFormatting>
        <x14:conditionalFormatting xmlns:xm="http://schemas.microsoft.com/office/excel/2006/main">
          <x14:cfRule type="expression" priority="1318" id="{FF586BCD-C421-4CE5-A886-CDE3D99194FE}">
            <xm:f>VLOOKUP(Q13,Calendars!$O$1:$U$398,MATCH($P$1,Calendars!$O$1:$U$1,0),FALSE)=""</xm:f>
            <x14:dxf>
              <fill>
                <patternFill>
                  <bgColor rgb="FFFF0000"/>
                </patternFill>
              </fill>
            </x14:dxf>
          </x14:cfRule>
          <xm:sqref>Q12</xm:sqref>
        </x14:conditionalFormatting>
        <x14:conditionalFormatting xmlns:xm="http://schemas.microsoft.com/office/excel/2006/main">
          <x14:cfRule type="expression" priority="1311" id="{BC6B4F5D-6F58-4DA8-8A24-6119C623CE35}">
            <xm:f>AND(Q12="",VLOOKUP(Q13,Calendars!$O$1:$U$398,MATCH($X$1,Calendars!$O$1:$U$1,0),FALSE)="")</xm:f>
            <x14:dxf>
              <fill>
                <patternFill>
                  <bgColor rgb="FFFF0000"/>
                </patternFill>
              </fill>
            </x14:dxf>
          </x14:cfRule>
          <xm:sqref>Q12</xm:sqref>
        </x14:conditionalFormatting>
        <x14:conditionalFormatting xmlns:xm="http://schemas.microsoft.com/office/excel/2006/main">
          <x14:cfRule type="expression" priority="1301" id="{223DDCCF-7CDF-4676-ADEB-1A9547F5B72B}">
            <xm:f>VLOOKUP(R13,Calendars!$O$1:$U$398,MATCH($P$1,Calendars!$O$1:$U$1,0),FALSE)="Holiday"</xm:f>
            <x14:dxf>
              <fill>
                <patternFill>
                  <bgColor rgb="FFFF99FF"/>
                </patternFill>
              </fill>
            </x14:dxf>
          </x14:cfRule>
          <x14:cfRule type="expression" priority="1302" id="{F3F79F63-9A2D-46F4-9ED3-E3263E8DF30C}">
            <xm:f>VLOOKUP(R13,Calendars!$O$1:$U$398,MATCH($P$1,Calendars!$O$1:$U$1,0),FALSE)="Non Contract"</xm:f>
            <x14:dxf>
              <fill>
                <patternFill patternType="lightDown"/>
              </fill>
            </x14:dxf>
          </x14:cfRule>
          <xm:sqref>R12:U12</xm:sqref>
        </x14:conditionalFormatting>
        <x14:conditionalFormatting xmlns:xm="http://schemas.microsoft.com/office/excel/2006/main">
          <x14:cfRule type="expression" priority="1304" id="{71B2253B-BC72-42B7-9A08-78E82D7844CF}">
            <xm:f>VLOOKUP(R13,Calendars!$O$1:$U$398,MATCH($P$1,Calendars!$O$1:$U$1,0),FALSE)=""</xm:f>
            <x14:dxf>
              <fill>
                <patternFill>
                  <bgColor rgb="FFFF0000"/>
                </patternFill>
              </fill>
            </x14:dxf>
          </x14:cfRule>
          <xm:sqref>R12:U12</xm:sqref>
        </x14:conditionalFormatting>
        <x14:conditionalFormatting xmlns:xm="http://schemas.microsoft.com/office/excel/2006/main">
          <x14:cfRule type="expression" priority="1297" id="{2E21CFF9-AFE7-4AB7-8781-E99EB158FD9B}">
            <xm:f>AND(R12="",VLOOKUP(R13,Calendars!$O$1:$U$398,MATCH($X$1,Calendars!$O$1:$U$1,0),FALSE)="")</xm:f>
            <x14:dxf>
              <fill>
                <patternFill>
                  <bgColor rgb="FFFF0000"/>
                </patternFill>
              </fill>
            </x14:dxf>
          </x14:cfRule>
          <xm:sqref>R12:U12</xm:sqref>
        </x14:conditionalFormatting>
        <x14:conditionalFormatting xmlns:xm="http://schemas.microsoft.com/office/excel/2006/main">
          <x14:cfRule type="expression" priority="1287" id="{753F4140-7517-4D44-B81B-A05B3E03F7ED}">
            <xm:f>VLOOKUP(Q15,Calendars!$O$1:$U$398,MATCH($P$1,Calendars!$O$1:$U$1,0),FALSE)="Holiday"</xm:f>
            <x14:dxf>
              <fill>
                <patternFill>
                  <bgColor rgb="FFFF99FF"/>
                </patternFill>
              </fill>
            </x14:dxf>
          </x14:cfRule>
          <x14:cfRule type="expression" priority="1288" id="{B42A1E0A-109D-4B0B-BDC4-504705487544}">
            <xm:f>VLOOKUP(Q15,Calendars!$O$1:$U$398,MATCH($P$1,Calendars!$O$1:$U$1,0),FALSE)="Non Contract"</xm:f>
            <x14:dxf>
              <fill>
                <patternFill patternType="lightDown"/>
              </fill>
            </x14:dxf>
          </x14:cfRule>
          <xm:sqref>Q14</xm:sqref>
        </x14:conditionalFormatting>
        <x14:conditionalFormatting xmlns:xm="http://schemas.microsoft.com/office/excel/2006/main">
          <x14:cfRule type="expression" priority="1290" id="{9591429E-C404-43FF-B726-A61193582880}">
            <xm:f>VLOOKUP(Q15,Calendars!$O$1:$U$398,MATCH($P$1,Calendars!$O$1:$U$1,0),FALSE)=""</xm:f>
            <x14:dxf>
              <fill>
                <patternFill>
                  <bgColor rgb="FFFF0000"/>
                </patternFill>
              </fill>
            </x14:dxf>
          </x14:cfRule>
          <xm:sqref>Q14</xm:sqref>
        </x14:conditionalFormatting>
        <x14:conditionalFormatting xmlns:xm="http://schemas.microsoft.com/office/excel/2006/main">
          <x14:cfRule type="expression" priority="1283" id="{B025A695-BEC4-41F5-8EA2-E1350A6CACA3}">
            <xm:f>AND(Q14="",VLOOKUP(Q15,Calendars!$O$1:$U$398,MATCH($X$1,Calendars!$O$1:$U$1,0),FALSE)="")</xm:f>
            <x14:dxf>
              <fill>
                <patternFill>
                  <bgColor rgb="FFFF0000"/>
                </patternFill>
              </fill>
            </x14:dxf>
          </x14:cfRule>
          <xm:sqref>Q14</xm:sqref>
        </x14:conditionalFormatting>
        <x14:conditionalFormatting xmlns:xm="http://schemas.microsoft.com/office/excel/2006/main">
          <x14:cfRule type="expression" priority="1273" id="{E6C05BE9-92A2-4804-B43A-523CA5AF1ED8}">
            <xm:f>VLOOKUP(R15,Calendars!$O$1:$U$398,MATCH($P$1,Calendars!$O$1:$U$1,0),FALSE)="Holiday"</xm:f>
            <x14:dxf>
              <fill>
                <patternFill>
                  <bgColor rgb="FFFF99FF"/>
                </patternFill>
              </fill>
            </x14:dxf>
          </x14:cfRule>
          <x14:cfRule type="expression" priority="1274" id="{B38F4CF4-9E85-4257-A4A2-098FA90AF4AE}">
            <xm:f>VLOOKUP(R15,Calendars!$O$1:$U$398,MATCH($P$1,Calendars!$O$1:$U$1,0),FALSE)="Non Contract"</xm:f>
            <x14:dxf>
              <fill>
                <patternFill patternType="lightDown"/>
              </fill>
            </x14:dxf>
          </x14:cfRule>
          <xm:sqref>R14:U14</xm:sqref>
        </x14:conditionalFormatting>
        <x14:conditionalFormatting xmlns:xm="http://schemas.microsoft.com/office/excel/2006/main">
          <x14:cfRule type="expression" priority="1276" id="{45560D26-677E-467C-BBA9-EC80AF10E05C}">
            <xm:f>VLOOKUP(R15,Calendars!$O$1:$U$398,MATCH($P$1,Calendars!$O$1:$U$1,0),FALSE)=""</xm:f>
            <x14:dxf>
              <fill>
                <patternFill>
                  <bgColor rgb="FFFF0000"/>
                </patternFill>
              </fill>
            </x14:dxf>
          </x14:cfRule>
          <xm:sqref>R14:U14</xm:sqref>
        </x14:conditionalFormatting>
        <x14:conditionalFormatting xmlns:xm="http://schemas.microsoft.com/office/excel/2006/main">
          <x14:cfRule type="expression" priority="1269" id="{5F9D3A04-6F52-4638-9B19-66F04DA7E9FA}">
            <xm:f>AND(R14="",VLOOKUP(R15,Calendars!$O$1:$U$398,MATCH($X$1,Calendars!$O$1:$U$1,0),FALSE)="")</xm:f>
            <x14:dxf>
              <fill>
                <patternFill>
                  <bgColor rgb="FFFF0000"/>
                </patternFill>
              </fill>
            </x14:dxf>
          </x14:cfRule>
          <xm:sqref>R14:U14</xm:sqref>
        </x14:conditionalFormatting>
        <x14:conditionalFormatting xmlns:xm="http://schemas.microsoft.com/office/excel/2006/main">
          <x14:cfRule type="expression" priority="1259" id="{6269A2B1-FDCA-4954-8FCA-E6C6E7E58675}">
            <xm:f>VLOOKUP(X7,Calendars!$O$1:$U$398,MATCH($P$1,Calendars!$O$1:$U$1,0),FALSE)="Holiday"</xm:f>
            <x14:dxf>
              <fill>
                <patternFill>
                  <bgColor rgb="FFFF99FF"/>
                </patternFill>
              </fill>
            </x14:dxf>
          </x14:cfRule>
          <x14:cfRule type="expression" priority="1260" id="{3604ECE5-7BD2-4BDC-B883-9FB8AA5DDAB9}">
            <xm:f>VLOOKUP(X7,Calendars!$O$1:$U$398,MATCH($P$1,Calendars!$O$1:$U$1,0),FALSE)="Non Contract"</xm:f>
            <x14:dxf>
              <fill>
                <patternFill patternType="lightDown"/>
              </fill>
            </x14:dxf>
          </x14:cfRule>
          <xm:sqref>X6</xm:sqref>
        </x14:conditionalFormatting>
        <x14:conditionalFormatting xmlns:xm="http://schemas.microsoft.com/office/excel/2006/main">
          <x14:cfRule type="expression" priority="1262" id="{5744AADD-396F-4573-AB16-72A3DB626D5B}">
            <xm:f>VLOOKUP(X7,Calendars!$O$1:$U$398,MATCH($P$1,Calendars!$O$1:$U$1,0),FALSE)=""</xm:f>
            <x14:dxf>
              <fill>
                <patternFill>
                  <bgColor rgb="FFFF0000"/>
                </patternFill>
              </fill>
            </x14:dxf>
          </x14:cfRule>
          <xm:sqref>X6</xm:sqref>
        </x14:conditionalFormatting>
        <x14:conditionalFormatting xmlns:xm="http://schemas.microsoft.com/office/excel/2006/main">
          <x14:cfRule type="expression" priority="1255" id="{4134367C-DEFF-4813-A16A-3B6F4CC70FAC}">
            <xm:f>AND(X6="",VLOOKUP(X7,Calendars!$O$1:$U$398,MATCH($X$1,Calendars!$O$1:$U$1,0),FALSE)="")</xm:f>
            <x14:dxf>
              <fill>
                <patternFill>
                  <bgColor rgb="FFFF0000"/>
                </patternFill>
              </fill>
            </x14:dxf>
          </x14:cfRule>
          <xm:sqref>X6</xm:sqref>
        </x14:conditionalFormatting>
        <x14:conditionalFormatting xmlns:xm="http://schemas.microsoft.com/office/excel/2006/main">
          <x14:cfRule type="expression" priority="1245" id="{E287FB9E-0A50-4FF6-9FD7-14FDABF8FC18}">
            <xm:f>VLOOKUP(Y7,Calendars!$O$1:$U$398,MATCH($P$1,Calendars!$O$1:$U$1,0),FALSE)="Holiday"</xm:f>
            <x14:dxf>
              <fill>
                <patternFill>
                  <bgColor rgb="FFFF99FF"/>
                </patternFill>
              </fill>
            </x14:dxf>
          </x14:cfRule>
          <x14:cfRule type="expression" priority="1246" id="{57159D61-7C24-436D-8F73-E9079BDC67B2}">
            <xm:f>VLOOKUP(Y7,Calendars!$O$1:$U$398,MATCH($P$1,Calendars!$O$1:$U$1,0),FALSE)="Non Contract"</xm:f>
            <x14:dxf>
              <fill>
                <patternFill patternType="lightDown"/>
              </fill>
            </x14:dxf>
          </x14:cfRule>
          <xm:sqref>Y6:AB6</xm:sqref>
        </x14:conditionalFormatting>
        <x14:conditionalFormatting xmlns:xm="http://schemas.microsoft.com/office/excel/2006/main">
          <x14:cfRule type="expression" priority="1248" id="{871EB8BA-FCF5-4841-8E57-EB2D3DD3E09E}">
            <xm:f>VLOOKUP(Y7,Calendars!$O$1:$U$398,MATCH($P$1,Calendars!$O$1:$U$1,0),FALSE)=""</xm:f>
            <x14:dxf>
              <fill>
                <patternFill>
                  <bgColor rgb="FFFF0000"/>
                </patternFill>
              </fill>
            </x14:dxf>
          </x14:cfRule>
          <xm:sqref>Y6:AB6</xm:sqref>
        </x14:conditionalFormatting>
        <x14:conditionalFormatting xmlns:xm="http://schemas.microsoft.com/office/excel/2006/main">
          <x14:cfRule type="expression" priority="1241" id="{95FE4952-3A4F-4B93-A128-4A7CBEC6BB3C}">
            <xm:f>AND(Y6="",VLOOKUP(Y7,Calendars!$O$1:$U$398,MATCH($X$1,Calendars!$O$1:$U$1,0),FALSE)="")</xm:f>
            <x14:dxf>
              <fill>
                <patternFill>
                  <bgColor rgb="FFFF0000"/>
                </patternFill>
              </fill>
            </x14:dxf>
          </x14:cfRule>
          <xm:sqref>Y6:AB6</xm:sqref>
        </x14:conditionalFormatting>
        <x14:conditionalFormatting xmlns:xm="http://schemas.microsoft.com/office/excel/2006/main">
          <x14:cfRule type="expression" priority="1231" id="{188CDD09-512C-49C8-806F-3EAB6C9D8599}">
            <xm:f>VLOOKUP(X9,Calendars!$O$1:$U$398,MATCH($P$1,Calendars!$O$1:$U$1,0),FALSE)="Holiday"</xm:f>
            <x14:dxf>
              <fill>
                <patternFill>
                  <bgColor rgb="FFFF99FF"/>
                </patternFill>
              </fill>
            </x14:dxf>
          </x14:cfRule>
          <x14:cfRule type="expression" priority="1232" id="{91E920BA-53D6-4289-BEA4-7E933E87B2CE}">
            <xm:f>VLOOKUP(X9,Calendars!$O$1:$U$398,MATCH($P$1,Calendars!$O$1:$U$1,0),FALSE)="Non Contract"</xm:f>
            <x14:dxf>
              <fill>
                <patternFill patternType="lightDown"/>
              </fill>
            </x14:dxf>
          </x14:cfRule>
          <xm:sqref>X8</xm:sqref>
        </x14:conditionalFormatting>
        <x14:conditionalFormatting xmlns:xm="http://schemas.microsoft.com/office/excel/2006/main">
          <x14:cfRule type="expression" priority="1234" id="{7228E245-F7DC-4477-BFD2-3462E1EF1DCF}">
            <xm:f>VLOOKUP(X9,Calendars!$O$1:$U$398,MATCH($P$1,Calendars!$O$1:$U$1,0),FALSE)=""</xm:f>
            <x14:dxf>
              <fill>
                <patternFill>
                  <bgColor rgb="FFFF0000"/>
                </patternFill>
              </fill>
            </x14:dxf>
          </x14:cfRule>
          <xm:sqref>X8</xm:sqref>
        </x14:conditionalFormatting>
        <x14:conditionalFormatting xmlns:xm="http://schemas.microsoft.com/office/excel/2006/main">
          <x14:cfRule type="expression" priority="1227" id="{0CC8C4A9-7FCA-4FD1-8A1B-29359D5559AE}">
            <xm:f>AND(X8="",VLOOKUP(X9,Calendars!$O$1:$U$398,MATCH($X$1,Calendars!$O$1:$U$1,0),FALSE)="")</xm:f>
            <x14:dxf>
              <fill>
                <patternFill>
                  <bgColor rgb="FFFF0000"/>
                </patternFill>
              </fill>
            </x14:dxf>
          </x14:cfRule>
          <xm:sqref>X8</xm:sqref>
        </x14:conditionalFormatting>
        <x14:conditionalFormatting xmlns:xm="http://schemas.microsoft.com/office/excel/2006/main">
          <x14:cfRule type="expression" priority="1217" id="{A33A0F23-A9D7-429C-9983-837AF3E49FCD}">
            <xm:f>VLOOKUP(Y9,Calendars!$O$1:$U$398,MATCH($P$1,Calendars!$O$1:$U$1,0),FALSE)="Holiday"</xm:f>
            <x14:dxf>
              <fill>
                <patternFill>
                  <bgColor rgb="FFFF99FF"/>
                </patternFill>
              </fill>
            </x14:dxf>
          </x14:cfRule>
          <x14:cfRule type="expression" priority="1218" id="{BF6CD57C-CF17-45BD-8D97-A90A969B77B1}">
            <xm:f>VLOOKUP(Y9,Calendars!$O$1:$U$398,MATCH($P$1,Calendars!$O$1:$U$1,0),FALSE)="Non Contract"</xm:f>
            <x14:dxf>
              <fill>
                <patternFill patternType="lightDown"/>
              </fill>
            </x14:dxf>
          </x14:cfRule>
          <xm:sqref>Y8:AB8</xm:sqref>
        </x14:conditionalFormatting>
        <x14:conditionalFormatting xmlns:xm="http://schemas.microsoft.com/office/excel/2006/main">
          <x14:cfRule type="expression" priority="1220" id="{BBF68B37-6227-41C9-A894-7BA21687BC13}">
            <xm:f>VLOOKUP(Y9,Calendars!$O$1:$U$398,MATCH($P$1,Calendars!$O$1:$U$1,0),FALSE)=""</xm:f>
            <x14:dxf>
              <fill>
                <patternFill>
                  <bgColor rgb="FFFF0000"/>
                </patternFill>
              </fill>
            </x14:dxf>
          </x14:cfRule>
          <xm:sqref>Y8:AB8</xm:sqref>
        </x14:conditionalFormatting>
        <x14:conditionalFormatting xmlns:xm="http://schemas.microsoft.com/office/excel/2006/main">
          <x14:cfRule type="expression" priority="1213" id="{37A3D2E2-F424-4220-BE55-5A4F07261A5A}">
            <xm:f>AND(Y8="",VLOOKUP(Y9,Calendars!$O$1:$U$398,MATCH($X$1,Calendars!$O$1:$U$1,0),FALSE)="")</xm:f>
            <x14:dxf>
              <fill>
                <patternFill>
                  <bgColor rgb="FFFF0000"/>
                </patternFill>
              </fill>
            </x14:dxf>
          </x14:cfRule>
          <xm:sqref>Y8:AB8</xm:sqref>
        </x14:conditionalFormatting>
        <x14:conditionalFormatting xmlns:xm="http://schemas.microsoft.com/office/excel/2006/main">
          <x14:cfRule type="expression" priority="1203" id="{966E1CED-57DA-4AEE-AA5E-C9EC8F81D48B}">
            <xm:f>VLOOKUP(X11,Calendars!$O$1:$U$398,MATCH($P$1,Calendars!$O$1:$U$1,0),FALSE)="Holiday"</xm:f>
            <x14:dxf>
              <fill>
                <patternFill>
                  <bgColor rgb="FFFF99FF"/>
                </patternFill>
              </fill>
            </x14:dxf>
          </x14:cfRule>
          <x14:cfRule type="expression" priority="1204" id="{C2031493-C9D6-4FAC-B8CA-652AA53EBBFB}">
            <xm:f>VLOOKUP(X11,Calendars!$O$1:$U$398,MATCH($P$1,Calendars!$O$1:$U$1,0),FALSE)="Non Contract"</xm:f>
            <x14:dxf>
              <fill>
                <patternFill patternType="lightDown"/>
              </fill>
            </x14:dxf>
          </x14:cfRule>
          <xm:sqref>X10</xm:sqref>
        </x14:conditionalFormatting>
        <x14:conditionalFormatting xmlns:xm="http://schemas.microsoft.com/office/excel/2006/main">
          <x14:cfRule type="expression" priority="1206" id="{A326B939-3383-47C9-9FA5-5099807EA1C2}">
            <xm:f>VLOOKUP(X11,Calendars!$O$1:$U$398,MATCH($P$1,Calendars!$O$1:$U$1,0),FALSE)=""</xm:f>
            <x14:dxf>
              <fill>
                <patternFill>
                  <bgColor rgb="FFFF0000"/>
                </patternFill>
              </fill>
            </x14:dxf>
          </x14:cfRule>
          <xm:sqref>X10</xm:sqref>
        </x14:conditionalFormatting>
        <x14:conditionalFormatting xmlns:xm="http://schemas.microsoft.com/office/excel/2006/main">
          <x14:cfRule type="expression" priority="1199" id="{A5A73A1D-5ACF-41A2-8D35-9DE43783D192}">
            <xm:f>AND(X10="",VLOOKUP(X11,Calendars!$O$1:$U$398,MATCH($X$1,Calendars!$O$1:$U$1,0),FALSE)="")</xm:f>
            <x14:dxf>
              <fill>
                <patternFill>
                  <bgColor rgb="FFFF0000"/>
                </patternFill>
              </fill>
            </x14:dxf>
          </x14:cfRule>
          <xm:sqref>X10</xm:sqref>
        </x14:conditionalFormatting>
        <x14:conditionalFormatting xmlns:xm="http://schemas.microsoft.com/office/excel/2006/main">
          <x14:cfRule type="expression" priority="1189" id="{420F18C5-63F0-45FA-9FE1-E9586780A15B}">
            <xm:f>VLOOKUP(Y11,Calendars!$O$1:$U$398,MATCH($P$1,Calendars!$O$1:$U$1,0),FALSE)="Holiday"</xm:f>
            <x14:dxf>
              <fill>
                <patternFill>
                  <bgColor rgb="FFFF99FF"/>
                </patternFill>
              </fill>
            </x14:dxf>
          </x14:cfRule>
          <x14:cfRule type="expression" priority="1190" id="{ABAC5B48-19D8-4D77-A68D-1712EF6CD996}">
            <xm:f>VLOOKUP(Y11,Calendars!$O$1:$U$398,MATCH($P$1,Calendars!$O$1:$U$1,0),FALSE)="Non Contract"</xm:f>
            <x14:dxf>
              <fill>
                <patternFill patternType="lightDown"/>
              </fill>
            </x14:dxf>
          </x14:cfRule>
          <xm:sqref>Y10:AB10</xm:sqref>
        </x14:conditionalFormatting>
        <x14:conditionalFormatting xmlns:xm="http://schemas.microsoft.com/office/excel/2006/main">
          <x14:cfRule type="expression" priority="1192" id="{523BB26D-63BD-4D31-A1FB-C4449DDF97BE}">
            <xm:f>VLOOKUP(Y11,Calendars!$O$1:$U$398,MATCH($P$1,Calendars!$O$1:$U$1,0),FALSE)=""</xm:f>
            <x14:dxf>
              <fill>
                <patternFill>
                  <bgColor rgb="FFFF0000"/>
                </patternFill>
              </fill>
            </x14:dxf>
          </x14:cfRule>
          <xm:sqref>Y10:AB10</xm:sqref>
        </x14:conditionalFormatting>
        <x14:conditionalFormatting xmlns:xm="http://schemas.microsoft.com/office/excel/2006/main">
          <x14:cfRule type="expression" priority="1185" id="{EA87BBC7-2D36-4BC6-8C7A-BCF0A6D343BB}">
            <xm:f>AND(Y10="",VLOOKUP(Y11,Calendars!$O$1:$U$398,MATCH($X$1,Calendars!$O$1:$U$1,0),FALSE)="")</xm:f>
            <x14:dxf>
              <fill>
                <patternFill>
                  <bgColor rgb="FFFF0000"/>
                </patternFill>
              </fill>
            </x14:dxf>
          </x14:cfRule>
          <xm:sqref>Y10:AB10</xm:sqref>
        </x14:conditionalFormatting>
        <x14:conditionalFormatting xmlns:xm="http://schemas.microsoft.com/office/excel/2006/main">
          <x14:cfRule type="expression" priority="1175" id="{548822CE-F920-498D-8C68-0984F2A53A59}">
            <xm:f>VLOOKUP(X13,Calendars!$O$1:$U$398,MATCH($P$1,Calendars!$O$1:$U$1,0),FALSE)="Holiday"</xm:f>
            <x14:dxf>
              <fill>
                <patternFill>
                  <bgColor rgb="FFFF99FF"/>
                </patternFill>
              </fill>
            </x14:dxf>
          </x14:cfRule>
          <x14:cfRule type="expression" priority="1176" id="{EB57A7D1-2C38-49AF-9D21-14A20B0E3544}">
            <xm:f>VLOOKUP(X13,Calendars!$O$1:$U$398,MATCH($P$1,Calendars!$O$1:$U$1,0),FALSE)="Non Contract"</xm:f>
            <x14:dxf>
              <fill>
                <patternFill patternType="lightDown"/>
              </fill>
            </x14:dxf>
          </x14:cfRule>
          <xm:sqref>X12</xm:sqref>
        </x14:conditionalFormatting>
        <x14:conditionalFormatting xmlns:xm="http://schemas.microsoft.com/office/excel/2006/main">
          <x14:cfRule type="expression" priority="1178" id="{4F77C1BC-7404-49A4-A9A5-04EA53702AC3}">
            <xm:f>VLOOKUP(X13,Calendars!$O$1:$U$398,MATCH($P$1,Calendars!$O$1:$U$1,0),FALSE)=""</xm:f>
            <x14:dxf>
              <fill>
                <patternFill>
                  <bgColor rgb="FFFF0000"/>
                </patternFill>
              </fill>
            </x14:dxf>
          </x14:cfRule>
          <xm:sqref>X12</xm:sqref>
        </x14:conditionalFormatting>
        <x14:conditionalFormatting xmlns:xm="http://schemas.microsoft.com/office/excel/2006/main">
          <x14:cfRule type="expression" priority="1171" id="{A6CB1CF5-C727-435E-BE7B-C0FA22A1D860}">
            <xm:f>AND(X12="",VLOOKUP(X13,Calendars!$O$1:$U$398,MATCH($X$1,Calendars!$O$1:$U$1,0),FALSE)="")</xm:f>
            <x14:dxf>
              <fill>
                <patternFill>
                  <bgColor rgb="FFFF0000"/>
                </patternFill>
              </fill>
            </x14:dxf>
          </x14:cfRule>
          <xm:sqref>X12</xm:sqref>
        </x14:conditionalFormatting>
        <x14:conditionalFormatting xmlns:xm="http://schemas.microsoft.com/office/excel/2006/main">
          <x14:cfRule type="expression" priority="1161" id="{B298025C-940F-402B-8C71-5DD1933DA839}">
            <xm:f>VLOOKUP(Y13,Calendars!$O$1:$U$398,MATCH($P$1,Calendars!$O$1:$U$1,0),FALSE)="Holiday"</xm:f>
            <x14:dxf>
              <fill>
                <patternFill>
                  <bgColor rgb="FFFF99FF"/>
                </patternFill>
              </fill>
            </x14:dxf>
          </x14:cfRule>
          <x14:cfRule type="expression" priority="1162" id="{7012F589-A17C-4635-9C87-1B2571F34051}">
            <xm:f>VLOOKUP(Y13,Calendars!$O$1:$U$398,MATCH($P$1,Calendars!$O$1:$U$1,0),FALSE)="Non Contract"</xm:f>
            <x14:dxf>
              <fill>
                <patternFill patternType="lightDown"/>
              </fill>
            </x14:dxf>
          </x14:cfRule>
          <xm:sqref>Y12:AB12</xm:sqref>
        </x14:conditionalFormatting>
        <x14:conditionalFormatting xmlns:xm="http://schemas.microsoft.com/office/excel/2006/main">
          <x14:cfRule type="expression" priority="1164" id="{9B203818-0400-4DAE-B0E4-980DA0B32DC9}">
            <xm:f>VLOOKUP(Y13,Calendars!$O$1:$U$398,MATCH($P$1,Calendars!$O$1:$U$1,0),FALSE)=""</xm:f>
            <x14:dxf>
              <fill>
                <patternFill>
                  <bgColor rgb="FFFF0000"/>
                </patternFill>
              </fill>
            </x14:dxf>
          </x14:cfRule>
          <xm:sqref>Y12:AB12</xm:sqref>
        </x14:conditionalFormatting>
        <x14:conditionalFormatting xmlns:xm="http://schemas.microsoft.com/office/excel/2006/main">
          <x14:cfRule type="expression" priority="1157" id="{5E0D0A87-B372-4CC7-A005-16CAD0DBC618}">
            <xm:f>AND(Y12="",VLOOKUP(Y13,Calendars!$O$1:$U$398,MATCH($X$1,Calendars!$O$1:$U$1,0),FALSE)="")</xm:f>
            <x14:dxf>
              <fill>
                <patternFill>
                  <bgColor rgb="FFFF0000"/>
                </patternFill>
              </fill>
            </x14:dxf>
          </x14:cfRule>
          <xm:sqref>Y12:AB12</xm:sqref>
        </x14:conditionalFormatting>
        <x14:conditionalFormatting xmlns:xm="http://schemas.microsoft.com/office/excel/2006/main">
          <x14:cfRule type="expression" priority="1147" id="{6F531C4A-2567-4322-9C75-02707C3FB50B}">
            <xm:f>VLOOKUP(X15,Calendars!$O$1:$U$398,MATCH($P$1,Calendars!$O$1:$U$1,0),FALSE)="Holiday"</xm:f>
            <x14:dxf>
              <fill>
                <patternFill>
                  <bgColor rgb="FFFF99FF"/>
                </patternFill>
              </fill>
            </x14:dxf>
          </x14:cfRule>
          <x14:cfRule type="expression" priority="1148" id="{C13DF0CE-3623-490C-AA23-BB32768B4386}">
            <xm:f>VLOOKUP(X15,Calendars!$O$1:$U$398,MATCH($P$1,Calendars!$O$1:$U$1,0),FALSE)="Non Contract"</xm:f>
            <x14:dxf>
              <fill>
                <patternFill patternType="lightDown"/>
              </fill>
            </x14:dxf>
          </x14:cfRule>
          <xm:sqref>X14</xm:sqref>
        </x14:conditionalFormatting>
        <x14:conditionalFormatting xmlns:xm="http://schemas.microsoft.com/office/excel/2006/main">
          <x14:cfRule type="expression" priority="1150" id="{36D78344-1BCC-4BC0-A15A-910F95E5EF1F}">
            <xm:f>VLOOKUP(X15,Calendars!$O$1:$U$398,MATCH($P$1,Calendars!$O$1:$U$1,0),FALSE)=""</xm:f>
            <x14:dxf>
              <fill>
                <patternFill>
                  <bgColor rgb="FFFF0000"/>
                </patternFill>
              </fill>
            </x14:dxf>
          </x14:cfRule>
          <xm:sqref>X14</xm:sqref>
        </x14:conditionalFormatting>
        <x14:conditionalFormatting xmlns:xm="http://schemas.microsoft.com/office/excel/2006/main">
          <x14:cfRule type="expression" priority="1143" id="{E1489805-293E-4C50-8752-7120910BC834}">
            <xm:f>AND(X14="",VLOOKUP(X15,Calendars!$O$1:$U$398,MATCH($X$1,Calendars!$O$1:$U$1,0),FALSE)="")</xm:f>
            <x14:dxf>
              <fill>
                <patternFill>
                  <bgColor rgb="FFFF0000"/>
                </patternFill>
              </fill>
            </x14:dxf>
          </x14:cfRule>
          <xm:sqref>X14</xm:sqref>
        </x14:conditionalFormatting>
        <x14:conditionalFormatting xmlns:xm="http://schemas.microsoft.com/office/excel/2006/main">
          <x14:cfRule type="expression" priority="1133" id="{4ABEC58F-8C30-46F4-A975-8539254ED71F}">
            <xm:f>VLOOKUP(Y15,Calendars!$O$1:$U$398,MATCH($P$1,Calendars!$O$1:$U$1,0),FALSE)="Holiday"</xm:f>
            <x14:dxf>
              <fill>
                <patternFill>
                  <bgColor rgb="FFFF99FF"/>
                </patternFill>
              </fill>
            </x14:dxf>
          </x14:cfRule>
          <x14:cfRule type="expression" priority="1134" id="{AB72AED7-2168-4FDE-A49D-C5D7ED72D306}">
            <xm:f>VLOOKUP(Y15,Calendars!$O$1:$U$398,MATCH($P$1,Calendars!$O$1:$U$1,0),FALSE)="Non Contract"</xm:f>
            <x14:dxf>
              <fill>
                <patternFill patternType="lightDown"/>
              </fill>
            </x14:dxf>
          </x14:cfRule>
          <xm:sqref>Y14:AB14</xm:sqref>
        </x14:conditionalFormatting>
        <x14:conditionalFormatting xmlns:xm="http://schemas.microsoft.com/office/excel/2006/main">
          <x14:cfRule type="expression" priority="1136" id="{ACDE549C-6692-42B6-83E9-AEAF0D22B37B}">
            <xm:f>VLOOKUP(Y15,Calendars!$O$1:$U$398,MATCH($P$1,Calendars!$O$1:$U$1,0),FALSE)=""</xm:f>
            <x14:dxf>
              <fill>
                <patternFill>
                  <bgColor rgb="FFFF0000"/>
                </patternFill>
              </fill>
            </x14:dxf>
          </x14:cfRule>
          <xm:sqref>Y14:AB14</xm:sqref>
        </x14:conditionalFormatting>
        <x14:conditionalFormatting xmlns:xm="http://schemas.microsoft.com/office/excel/2006/main">
          <x14:cfRule type="expression" priority="1129" id="{64CC1E5B-240F-43F4-8770-039381B38C19}">
            <xm:f>AND(Y14="",VLOOKUP(Y15,Calendars!$O$1:$U$398,MATCH($X$1,Calendars!$O$1:$U$1,0),FALSE)="")</xm:f>
            <x14:dxf>
              <fill>
                <patternFill>
                  <bgColor rgb="FFFF0000"/>
                </patternFill>
              </fill>
            </x14:dxf>
          </x14:cfRule>
          <xm:sqref>Y14:AB14</xm:sqref>
        </x14:conditionalFormatting>
        <x14:conditionalFormatting xmlns:xm="http://schemas.microsoft.com/office/excel/2006/main">
          <x14:cfRule type="expression" priority="1119" id="{39DB23CE-B482-48C5-9C39-8C3094FB58ED}">
            <xm:f>VLOOKUP(C18,Calendars!$O$1:$U$398,MATCH($P$1,Calendars!$O$1:$U$1,0),FALSE)="Holiday"</xm:f>
            <x14:dxf>
              <fill>
                <patternFill>
                  <bgColor rgb="FFFF99FF"/>
                </patternFill>
              </fill>
            </x14:dxf>
          </x14:cfRule>
          <x14:cfRule type="expression" priority="1120" id="{2A07B6C1-E761-4345-911E-8505640DD134}">
            <xm:f>VLOOKUP(C18,Calendars!$O$1:$U$398,MATCH($P$1,Calendars!$O$1:$U$1,0),FALSE)="Non Contract"</xm:f>
            <x14:dxf>
              <fill>
                <patternFill patternType="lightDown"/>
              </fill>
            </x14:dxf>
          </x14:cfRule>
          <xm:sqref>C17</xm:sqref>
        </x14:conditionalFormatting>
        <x14:conditionalFormatting xmlns:xm="http://schemas.microsoft.com/office/excel/2006/main">
          <x14:cfRule type="expression" priority="1122" id="{F399AA4E-0F32-4564-BE49-DAE205DDD4E8}">
            <xm:f>VLOOKUP(C18,Calendars!$O$1:$U$398,MATCH($P$1,Calendars!$O$1:$U$1,0),FALSE)=""</xm:f>
            <x14:dxf>
              <fill>
                <patternFill>
                  <bgColor rgb="FFFF0000"/>
                </patternFill>
              </fill>
            </x14:dxf>
          </x14:cfRule>
          <xm:sqref>C17</xm:sqref>
        </x14:conditionalFormatting>
        <x14:conditionalFormatting xmlns:xm="http://schemas.microsoft.com/office/excel/2006/main">
          <x14:cfRule type="expression" priority="1115" id="{1E94C459-164E-4BDA-933B-907F8B02E769}">
            <xm:f>AND(C17="",VLOOKUP(C18,Calendars!$O$1:$U$398,MATCH($X$1,Calendars!$O$1:$U$1,0),FALSE)="")</xm:f>
            <x14:dxf>
              <fill>
                <patternFill>
                  <bgColor rgb="FFFF0000"/>
                </patternFill>
              </fill>
            </x14:dxf>
          </x14:cfRule>
          <xm:sqref>C17</xm:sqref>
        </x14:conditionalFormatting>
        <x14:conditionalFormatting xmlns:xm="http://schemas.microsoft.com/office/excel/2006/main">
          <x14:cfRule type="expression" priority="1105" id="{B69B2463-22E4-4346-B84B-40A10ED80D8F}">
            <xm:f>VLOOKUP(D18,Calendars!$O$1:$U$398,MATCH($P$1,Calendars!$O$1:$U$1,0),FALSE)="Holiday"</xm:f>
            <x14:dxf>
              <fill>
                <patternFill>
                  <bgColor rgb="FFFF99FF"/>
                </patternFill>
              </fill>
            </x14:dxf>
          </x14:cfRule>
          <x14:cfRule type="expression" priority="1106" id="{4055CB31-689E-47F5-9E13-3EDF322A4998}">
            <xm:f>VLOOKUP(D18,Calendars!$O$1:$U$398,MATCH($P$1,Calendars!$O$1:$U$1,0),FALSE)="Non Contract"</xm:f>
            <x14:dxf>
              <fill>
                <patternFill patternType="lightDown"/>
              </fill>
            </x14:dxf>
          </x14:cfRule>
          <xm:sqref>D17:G17</xm:sqref>
        </x14:conditionalFormatting>
        <x14:conditionalFormatting xmlns:xm="http://schemas.microsoft.com/office/excel/2006/main">
          <x14:cfRule type="expression" priority="1108" id="{C3F9EBE2-4E6B-451F-B945-7947A77240E4}">
            <xm:f>VLOOKUP(D18,Calendars!$O$1:$U$398,MATCH($P$1,Calendars!$O$1:$U$1,0),FALSE)=""</xm:f>
            <x14:dxf>
              <fill>
                <patternFill>
                  <bgColor rgb="FFFF0000"/>
                </patternFill>
              </fill>
            </x14:dxf>
          </x14:cfRule>
          <xm:sqref>D17:G17</xm:sqref>
        </x14:conditionalFormatting>
        <x14:conditionalFormatting xmlns:xm="http://schemas.microsoft.com/office/excel/2006/main">
          <x14:cfRule type="expression" priority="1101" id="{FE52E25F-3365-41A9-9893-5DBE0978F167}">
            <xm:f>AND(D17="",VLOOKUP(D18,Calendars!$O$1:$U$398,MATCH($X$1,Calendars!$O$1:$U$1,0),FALSE)="")</xm:f>
            <x14:dxf>
              <fill>
                <patternFill>
                  <bgColor rgb="FFFF0000"/>
                </patternFill>
              </fill>
            </x14:dxf>
          </x14:cfRule>
          <xm:sqref>D17:G17</xm:sqref>
        </x14:conditionalFormatting>
        <x14:conditionalFormatting xmlns:xm="http://schemas.microsoft.com/office/excel/2006/main">
          <x14:cfRule type="expression" priority="1091" id="{08EE461F-AEE8-4C79-9AC5-6D71E716FDD5}">
            <xm:f>VLOOKUP(C20,Calendars!$O$1:$U$398,MATCH($P$1,Calendars!$O$1:$U$1,0),FALSE)="Holiday"</xm:f>
            <x14:dxf>
              <fill>
                <patternFill>
                  <bgColor rgb="FFFF99FF"/>
                </patternFill>
              </fill>
            </x14:dxf>
          </x14:cfRule>
          <x14:cfRule type="expression" priority="1092" id="{0EC77D6E-8B19-45D6-9C8C-AFF7F6B16137}">
            <xm:f>VLOOKUP(C20,Calendars!$O$1:$U$398,MATCH($P$1,Calendars!$O$1:$U$1,0),FALSE)="Non Contract"</xm:f>
            <x14:dxf>
              <fill>
                <patternFill patternType="lightDown"/>
              </fill>
            </x14:dxf>
          </x14:cfRule>
          <xm:sqref>C19</xm:sqref>
        </x14:conditionalFormatting>
        <x14:conditionalFormatting xmlns:xm="http://schemas.microsoft.com/office/excel/2006/main">
          <x14:cfRule type="expression" priority="1094" id="{00E94628-C802-47B8-9C9C-022309F76198}">
            <xm:f>VLOOKUP(C20,Calendars!$O$1:$U$398,MATCH($P$1,Calendars!$O$1:$U$1,0),FALSE)=""</xm:f>
            <x14:dxf>
              <fill>
                <patternFill>
                  <bgColor rgb="FFFF0000"/>
                </patternFill>
              </fill>
            </x14:dxf>
          </x14:cfRule>
          <xm:sqref>C19</xm:sqref>
        </x14:conditionalFormatting>
        <x14:conditionalFormatting xmlns:xm="http://schemas.microsoft.com/office/excel/2006/main">
          <x14:cfRule type="expression" priority="1087" id="{2F679AAA-6E34-4BA2-A588-48A0DB12C271}">
            <xm:f>AND(C19="",VLOOKUP(C20,Calendars!$O$1:$U$398,MATCH($X$1,Calendars!$O$1:$U$1,0),FALSE)="")</xm:f>
            <x14:dxf>
              <fill>
                <patternFill>
                  <bgColor rgb="FFFF0000"/>
                </patternFill>
              </fill>
            </x14:dxf>
          </x14:cfRule>
          <xm:sqref>C19</xm:sqref>
        </x14:conditionalFormatting>
        <x14:conditionalFormatting xmlns:xm="http://schemas.microsoft.com/office/excel/2006/main">
          <x14:cfRule type="expression" priority="1077" id="{CC7E66B5-DC45-4E9E-97EB-1D00C8C69837}">
            <xm:f>VLOOKUP(D20,Calendars!$O$1:$U$398,MATCH($P$1,Calendars!$O$1:$U$1,0),FALSE)="Holiday"</xm:f>
            <x14:dxf>
              <fill>
                <patternFill>
                  <bgColor rgb="FFFF99FF"/>
                </patternFill>
              </fill>
            </x14:dxf>
          </x14:cfRule>
          <x14:cfRule type="expression" priority="1078" id="{D66C87E5-8BF2-4176-820D-1901340EEEFD}">
            <xm:f>VLOOKUP(D20,Calendars!$O$1:$U$398,MATCH($P$1,Calendars!$O$1:$U$1,0),FALSE)="Non Contract"</xm:f>
            <x14:dxf>
              <fill>
                <patternFill patternType="lightDown"/>
              </fill>
            </x14:dxf>
          </x14:cfRule>
          <xm:sqref>D19:G19</xm:sqref>
        </x14:conditionalFormatting>
        <x14:conditionalFormatting xmlns:xm="http://schemas.microsoft.com/office/excel/2006/main">
          <x14:cfRule type="expression" priority="1080" id="{3DBA671C-20E5-4960-9107-144B656E701A}">
            <xm:f>VLOOKUP(D20,Calendars!$O$1:$U$398,MATCH($P$1,Calendars!$O$1:$U$1,0),FALSE)=""</xm:f>
            <x14:dxf>
              <fill>
                <patternFill>
                  <bgColor rgb="FFFF0000"/>
                </patternFill>
              </fill>
            </x14:dxf>
          </x14:cfRule>
          <xm:sqref>D19:G19</xm:sqref>
        </x14:conditionalFormatting>
        <x14:conditionalFormatting xmlns:xm="http://schemas.microsoft.com/office/excel/2006/main">
          <x14:cfRule type="expression" priority="1073" id="{7433AEEF-6D38-423C-B091-520F5C165448}">
            <xm:f>AND(D19="",VLOOKUP(D20,Calendars!$O$1:$U$398,MATCH($X$1,Calendars!$O$1:$U$1,0),FALSE)="")</xm:f>
            <x14:dxf>
              <fill>
                <patternFill>
                  <bgColor rgb="FFFF0000"/>
                </patternFill>
              </fill>
            </x14:dxf>
          </x14:cfRule>
          <xm:sqref>D19:G19</xm:sqref>
        </x14:conditionalFormatting>
        <x14:conditionalFormatting xmlns:xm="http://schemas.microsoft.com/office/excel/2006/main">
          <x14:cfRule type="expression" priority="1063" id="{B35F8AF8-E514-4272-BBFC-F80281AA0A2E}">
            <xm:f>VLOOKUP(C22,Calendars!$O$1:$U$398,MATCH($P$1,Calendars!$O$1:$U$1,0),FALSE)="Holiday"</xm:f>
            <x14:dxf>
              <fill>
                <patternFill>
                  <bgColor rgb="FFFF99FF"/>
                </patternFill>
              </fill>
            </x14:dxf>
          </x14:cfRule>
          <x14:cfRule type="expression" priority="1064" id="{36B9E60A-F5A1-4B9A-B4AD-667A81059D3C}">
            <xm:f>VLOOKUP(C22,Calendars!$O$1:$U$398,MATCH($P$1,Calendars!$O$1:$U$1,0),FALSE)="Non Contract"</xm:f>
            <x14:dxf>
              <fill>
                <patternFill patternType="lightDown"/>
              </fill>
            </x14:dxf>
          </x14:cfRule>
          <xm:sqref>C21</xm:sqref>
        </x14:conditionalFormatting>
        <x14:conditionalFormatting xmlns:xm="http://schemas.microsoft.com/office/excel/2006/main">
          <x14:cfRule type="expression" priority="1066" id="{3A5233DE-C05C-4637-9FE2-C1FD3181E38E}">
            <xm:f>VLOOKUP(C22,Calendars!$O$1:$U$398,MATCH($P$1,Calendars!$O$1:$U$1,0),FALSE)=""</xm:f>
            <x14:dxf>
              <fill>
                <patternFill>
                  <bgColor rgb="FFFF0000"/>
                </patternFill>
              </fill>
            </x14:dxf>
          </x14:cfRule>
          <xm:sqref>C21</xm:sqref>
        </x14:conditionalFormatting>
        <x14:conditionalFormatting xmlns:xm="http://schemas.microsoft.com/office/excel/2006/main">
          <x14:cfRule type="expression" priority="1059" id="{C1840009-AFAA-4D1B-9537-D59F57A9D2B3}">
            <xm:f>AND(C21="",VLOOKUP(C22,Calendars!$O$1:$U$398,MATCH($X$1,Calendars!$O$1:$U$1,0),FALSE)="")</xm:f>
            <x14:dxf>
              <fill>
                <patternFill>
                  <bgColor rgb="FFFF0000"/>
                </patternFill>
              </fill>
            </x14:dxf>
          </x14:cfRule>
          <xm:sqref>C21</xm:sqref>
        </x14:conditionalFormatting>
        <x14:conditionalFormatting xmlns:xm="http://schemas.microsoft.com/office/excel/2006/main">
          <x14:cfRule type="expression" priority="1049" id="{B509C22F-6697-40A5-B447-DD1C8BDD20D6}">
            <xm:f>VLOOKUP(D22,Calendars!$O$1:$U$398,MATCH($P$1,Calendars!$O$1:$U$1,0),FALSE)="Holiday"</xm:f>
            <x14:dxf>
              <fill>
                <patternFill>
                  <bgColor rgb="FFFF99FF"/>
                </patternFill>
              </fill>
            </x14:dxf>
          </x14:cfRule>
          <x14:cfRule type="expression" priority="1050" id="{15DB6CF6-37B7-497A-A130-11E9A7B1C0DC}">
            <xm:f>VLOOKUP(D22,Calendars!$O$1:$U$398,MATCH($P$1,Calendars!$O$1:$U$1,0),FALSE)="Non Contract"</xm:f>
            <x14:dxf>
              <fill>
                <patternFill patternType="lightDown"/>
              </fill>
            </x14:dxf>
          </x14:cfRule>
          <xm:sqref>D21:G21</xm:sqref>
        </x14:conditionalFormatting>
        <x14:conditionalFormatting xmlns:xm="http://schemas.microsoft.com/office/excel/2006/main">
          <x14:cfRule type="expression" priority="1052" id="{6225D597-10D7-41D2-B51A-1351140BCBC8}">
            <xm:f>VLOOKUP(D22,Calendars!$O$1:$U$398,MATCH($P$1,Calendars!$O$1:$U$1,0),FALSE)=""</xm:f>
            <x14:dxf>
              <fill>
                <patternFill>
                  <bgColor rgb="FFFF0000"/>
                </patternFill>
              </fill>
            </x14:dxf>
          </x14:cfRule>
          <xm:sqref>D21:G21</xm:sqref>
        </x14:conditionalFormatting>
        <x14:conditionalFormatting xmlns:xm="http://schemas.microsoft.com/office/excel/2006/main">
          <x14:cfRule type="expression" priority="1045" id="{C3171BED-23AF-4227-AB87-ED8F52C73971}">
            <xm:f>AND(D21="",VLOOKUP(D22,Calendars!$O$1:$U$398,MATCH($X$1,Calendars!$O$1:$U$1,0),FALSE)="")</xm:f>
            <x14:dxf>
              <fill>
                <patternFill>
                  <bgColor rgb="FFFF0000"/>
                </patternFill>
              </fill>
            </x14:dxf>
          </x14:cfRule>
          <xm:sqref>D21:G21</xm:sqref>
        </x14:conditionalFormatting>
        <x14:conditionalFormatting xmlns:xm="http://schemas.microsoft.com/office/excel/2006/main">
          <x14:cfRule type="expression" priority="1035" id="{61F7E48E-350E-4900-AB3A-BBE843825A3B}">
            <xm:f>VLOOKUP(C24,Calendars!$O$1:$U$398,MATCH($P$1,Calendars!$O$1:$U$1,0),FALSE)="Holiday"</xm:f>
            <x14:dxf>
              <fill>
                <patternFill>
                  <bgColor rgb="FFFF99FF"/>
                </patternFill>
              </fill>
            </x14:dxf>
          </x14:cfRule>
          <x14:cfRule type="expression" priority="1036" id="{C16BAE31-4F0E-43B5-9033-D0379DA154D1}">
            <xm:f>VLOOKUP(C24,Calendars!$O$1:$U$398,MATCH($P$1,Calendars!$O$1:$U$1,0),FALSE)="Non Contract"</xm:f>
            <x14:dxf>
              <fill>
                <patternFill patternType="lightDown"/>
              </fill>
            </x14:dxf>
          </x14:cfRule>
          <xm:sqref>C23</xm:sqref>
        </x14:conditionalFormatting>
        <x14:conditionalFormatting xmlns:xm="http://schemas.microsoft.com/office/excel/2006/main">
          <x14:cfRule type="expression" priority="1038" id="{10D562FC-DE4E-42CD-990A-87686813949B}">
            <xm:f>VLOOKUP(C24,Calendars!$O$1:$U$398,MATCH($P$1,Calendars!$O$1:$U$1,0),FALSE)=""</xm:f>
            <x14:dxf>
              <fill>
                <patternFill>
                  <bgColor rgb="FFFF0000"/>
                </patternFill>
              </fill>
            </x14:dxf>
          </x14:cfRule>
          <xm:sqref>C23</xm:sqref>
        </x14:conditionalFormatting>
        <x14:conditionalFormatting xmlns:xm="http://schemas.microsoft.com/office/excel/2006/main">
          <x14:cfRule type="expression" priority="1031" id="{B1BBDF09-FBF9-42E4-9C41-648CBA527C1C}">
            <xm:f>AND(C23="",VLOOKUP(C24,Calendars!$O$1:$U$398,MATCH($X$1,Calendars!$O$1:$U$1,0),FALSE)="")</xm:f>
            <x14:dxf>
              <fill>
                <patternFill>
                  <bgColor rgb="FFFF0000"/>
                </patternFill>
              </fill>
            </x14:dxf>
          </x14:cfRule>
          <xm:sqref>C23</xm:sqref>
        </x14:conditionalFormatting>
        <x14:conditionalFormatting xmlns:xm="http://schemas.microsoft.com/office/excel/2006/main">
          <x14:cfRule type="expression" priority="1021" id="{EABF787D-987F-448C-85A0-7368953D6E7A}">
            <xm:f>VLOOKUP(D24,Calendars!$O$1:$U$398,MATCH($P$1,Calendars!$O$1:$U$1,0),FALSE)="Holiday"</xm:f>
            <x14:dxf>
              <fill>
                <patternFill>
                  <bgColor rgb="FFFF99FF"/>
                </patternFill>
              </fill>
            </x14:dxf>
          </x14:cfRule>
          <x14:cfRule type="expression" priority="1022" id="{3E2A99D1-D8AF-4ADA-B4CD-FAD80AE456A3}">
            <xm:f>VLOOKUP(D24,Calendars!$O$1:$U$398,MATCH($P$1,Calendars!$O$1:$U$1,0),FALSE)="Non Contract"</xm:f>
            <x14:dxf>
              <fill>
                <patternFill patternType="lightDown"/>
              </fill>
            </x14:dxf>
          </x14:cfRule>
          <xm:sqref>D23:G23</xm:sqref>
        </x14:conditionalFormatting>
        <x14:conditionalFormatting xmlns:xm="http://schemas.microsoft.com/office/excel/2006/main">
          <x14:cfRule type="expression" priority="1024" id="{7634E8D5-0D8F-4737-8EEB-5E1ABD5B2CAC}">
            <xm:f>VLOOKUP(D24,Calendars!$O$1:$U$398,MATCH($P$1,Calendars!$O$1:$U$1,0),FALSE)=""</xm:f>
            <x14:dxf>
              <fill>
                <patternFill>
                  <bgColor rgb="FFFF0000"/>
                </patternFill>
              </fill>
            </x14:dxf>
          </x14:cfRule>
          <xm:sqref>D23:G23</xm:sqref>
        </x14:conditionalFormatting>
        <x14:conditionalFormatting xmlns:xm="http://schemas.microsoft.com/office/excel/2006/main">
          <x14:cfRule type="expression" priority="1017" id="{1F442EA2-2861-44A3-B07E-DD88D58321EE}">
            <xm:f>AND(D23="",VLOOKUP(D24,Calendars!$O$1:$U$398,MATCH($X$1,Calendars!$O$1:$U$1,0),FALSE)="")</xm:f>
            <x14:dxf>
              <fill>
                <patternFill>
                  <bgColor rgb="FFFF0000"/>
                </patternFill>
              </fill>
            </x14:dxf>
          </x14:cfRule>
          <xm:sqref>D23:G23</xm:sqref>
        </x14:conditionalFormatting>
        <x14:conditionalFormatting xmlns:xm="http://schemas.microsoft.com/office/excel/2006/main">
          <x14:cfRule type="expression" priority="1007" id="{AE73429A-8616-413C-9579-C53F5FDE6960}">
            <xm:f>VLOOKUP(C26,Calendars!$O$1:$U$398,MATCH($P$1,Calendars!$O$1:$U$1,0),FALSE)="Holiday"</xm:f>
            <x14:dxf>
              <fill>
                <patternFill>
                  <bgColor rgb="FFFF99FF"/>
                </patternFill>
              </fill>
            </x14:dxf>
          </x14:cfRule>
          <x14:cfRule type="expression" priority="1008" id="{3FC24E84-077B-4487-8ACD-B3DE165D31EC}">
            <xm:f>VLOOKUP(C26,Calendars!$O$1:$U$398,MATCH($P$1,Calendars!$O$1:$U$1,0),FALSE)="Non Contract"</xm:f>
            <x14:dxf>
              <fill>
                <patternFill patternType="lightDown"/>
              </fill>
            </x14:dxf>
          </x14:cfRule>
          <xm:sqref>C25</xm:sqref>
        </x14:conditionalFormatting>
        <x14:conditionalFormatting xmlns:xm="http://schemas.microsoft.com/office/excel/2006/main">
          <x14:cfRule type="expression" priority="1010" id="{1A459C6C-2D90-4082-B618-B6FD07F36AC5}">
            <xm:f>VLOOKUP(C26,Calendars!$O$1:$U$398,MATCH($P$1,Calendars!$O$1:$U$1,0),FALSE)=""</xm:f>
            <x14:dxf>
              <fill>
                <patternFill>
                  <bgColor rgb="FFFF0000"/>
                </patternFill>
              </fill>
            </x14:dxf>
          </x14:cfRule>
          <xm:sqref>C25</xm:sqref>
        </x14:conditionalFormatting>
        <x14:conditionalFormatting xmlns:xm="http://schemas.microsoft.com/office/excel/2006/main">
          <x14:cfRule type="expression" priority="1003" id="{A9A4171D-4C73-417F-ADB7-0BF43C1D6B3A}">
            <xm:f>AND(C25="",VLOOKUP(C26,Calendars!$O$1:$U$398,MATCH($X$1,Calendars!$O$1:$U$1,0),FALSE)="")</xm:f>
            <x14:dxf>
              <fill>
                <patternFill>
                  <bgColor rgb="FFFF0000"/>
                </patternFill>
              </fill>
            </x14:dxf>
          </x14:cfRule>
          <xm:sqref>C25</xm:sqref>
        </x14:conditionalFormatting>
        <x14:conditionalFormatting xmlns:xm="http://schemas.microsoft.com/office/excel/2006/main">
          <x14:cfRule type="expression" priority="993" id="{DCE24C7C-4B6E-4567-8366-50C4CB9C1D32}">
            <xm:f>VLOOKUP(D26,Calendars!$O$1:$U$398,MATCH($P$1,Calendars!$O$1:$U$1,0),FALSE)="Holiday"</xm:f>
            <x14:dxf>
              <fill>
                <patternFill>
                  <bgColor rgb="FFFF99FF"/>
                </patternFill>
              </fill>
            </x14:dxf>
          </x14:cfRule>
          <x14:cfRule type="expression" priority="994" id="{26773D1D-38F6-4246-B9CC-B9400465DDCA}">
            <xm:f>VLOOKUP(D26,Calendars!$O$1:$U$398,MATCH($P$1,Calendars!$O$1:$U$1,0),FALSE)="Non Contract"</xm:f>
            <x14:dxf>
              <fill>
                <patternFill patternType="lightDown"/>
              </fill>
            </x14:dxf>
          </x14:cfRule>
          <xm:sqref>D25:G25</xm:sqref>
        </x14:conditionalFormatting>
        <x14:conditionalFormatting xmlns:xm="http://schemas.microsoft.com/office/excel/2006/main">
          <x14:cfRule type="expression" priority="996" id="{036160D9-D1DE-41ED-BC4B-67807CBBDFC2}">
            <xm:f>VLOOKUP(D26,Calendars!$O$1:$U$398,MATCH($P$1,Calendars!$O$1:$U$1,0),FALSE)=""</xm:f>
            <x14:dxf>
              <fill>
                <patternFill>
                  <bgColor rgb="FFFF0000"/>
                </patternFill>
              </fill>
            </x14:dxf>
          </x14:cfRule>
          <xm:sqref>D25:G25</xm:sqref>
        </x14:conditionalFormatting>
        <x14:conditionalFormatting xmlns:xm="http://schemas.microsoft.com/office/excel/2006/main">
          <x14:cfRule type="expression" priority="989" id="{CF149889-67A9-443F-87E2-879FE2B27C09}">
            <xm:f>AND(D25="",VLOOKUP(D26,Calendars!$O$1:$U$398,MATCH($X$1,Calendars!$O$1:$U$1,0),FALSE)="")</xm:f>
            <x14:dxf>
              <fill>
                <patternFill>
                  <bgColor rgb="FFFF0000"/>
                </patternFill>
              </fill>
            </x14:dxf>
          </x14:cfRule>
          <xm:sqref>D25:G25</xm:sqref>
        </x14:conditionalFormatting>
        <x14:conditionalFormatting xmlns:xm="http://schemas.microsoft.com/office/excel/2006/main">
          <x14:cfRule type="expression" priority="979" id="{333A17D3-D117-41DB-A91F-BCFA14DF803E}">
            <xm:f>VLOOKUP(J18,Calendars!$O$1:$U$398,MATCH($P$1,Calendars!$O$1:$U$1,0),FALSE)="Holiday"</xm:f>
            <x14:dxf>
              <fill>
                <patternFill>
                  <bgColor rgb="FFFF99FF"/>
                </patternFill>
              </fill>
            </x14:dxf>
          </x14:cfRule>
          <x14:cfRule type="expression" priority="980" id="{BAE596E1-7E47-43EF-AAE4-F6189506D47C}">
            <xm:f>VLOOKUP(J18,Calendars!$O$1:$U$398,MATCH($P$1,Calendars!$O$1:$U$1,0),FALSE)="Non Contract"</xm:f>
            <x14:dxf>
              <fill>
                <patternFill patternType="lightDown"/>
              </fill>
            </x14:dxf>
          </x14:cfRule>
          <xm:sqref>J17</xm:sqref>
        </x14:conditionalFormatting>
        <x14:conditionalFormatting xmlns:xm="http://schemas.microsoft.com/office/excel/2006/main">
          <x14:cfRule type="expression" priority="982" id="{03E0C7A7-B86C-4190-80F6-44EED59A879D}">
            <xm:f>VLOOKUP(J18,Calendars!$O$1:$U$398,MATCH($P$1,Calendars!$O$1:$U$1,0),FALSE)=""</xm:f>
            <x14:dxf>
              <fill>
                <patternFill>
                  <bgColor rgb="FFFF0000"/>
                </patternFill>
              </fill>
            </x14:dxf>
          </x14:cfRule>
          <xm:sqref>J17</xm:sqref>
        </x14:conditionalFormatting>
        <x14:conditionalFormatting xmlns:xm="http://schemas.microsoft.com/office/excel/2006/main">
          <x14:cfRule type="expression" priority="975" id="{2E87A592-CFD3-43B7-8D70-D19B73F0F351}">
            <xm:f>AND(J17="",VLOOKUP(J18,Calendars!$O$1:$U$398,MATCH($X$1,Calendars!$O$1:$U$1,0),FALSE)="")</xm:f>
            <x14:dxf>
              <fill>
                <patternFill>
                  <bgColor rgb="FFFF0000"/>
                </patternFill>
              </fill>
            </x14:dxf>
          </x14:cfRule>
          <xm:sqref>J17</xm:sqref>
        </x14:conditionalFormatting>
        <x14:conditionalFormatting xmlns:xm="http://schemas.microsoft.com/office/excel/2006/main">
          <x14:cfRule type="expression" priority="965" id="{F23A8989-D47E-4DCE-99F1-11E8EB46187C}">
            <xm:f>VLOOKUP(K18,Calendars!$O$1:$U$398,MATCH($P$1,Calendars!$O$1:$U$1,0),FALSE)="Holiday"</xm:f>
            <x14:dxf>
              <fill>
                <patternFill>
                  <bgColor rgb="FFFF99FF"/>
                </patternFill>
              </fill>
            </x14:dxf>
          </x14:cfRule>
          <x14:cfRule type="expression" priority="966" id="{4703A1CB-E156-460E-A761-F8E55C22746A}">
            <xm:f>VLOOKUP(K18,Calendars!$O$1:$U$398,MATCH($P$1,Calendars!$O$1:$U$1,0),FALSE)="Non Contract"</xm:f>
            <x14:dxf>
              <fill>
                <patternFill patternType="lightDown"/>
              </fill>
            </x14:dxf>
          </x14:cfRule>
          <xm:sqref>K17:N17</xm:sqref>
        </x14:conditionalFormatting>
        <x14:conditionalFormatting xmlns:xm="http://schemas.microsoft.com/office/excel/2006/main">
          <x14:cfRule type="expression" priority="968" id="{CFF1EB21-C95A-4B12-9834-6AB0F35EB45F}">
            <xm:f>VLOOKUP(K18,Calendars!$O$1:$U$398,MATCH($P$1,Calendars!$O$1:$U$1,0),FALSE)=""</xm:f>
            <x14:dxf>
              <fill>
                <patternFill>
                  <bgColor rgb="FFFF0000"/>
                </patternFill>
              </fill>
            </x14:dxf>
          </x14:cfRule>
          <xm:sqref>K17:N17</xm:sqref>
        </x14:conditionalFormatting>
        <x14:conditionalFormatting xmlns:xm="http://schemas.microsoft.com/office/excel/2006/main">
          <x14:cfRule type="expression" priority="961" id="{2D67475B-831E-4800-8F71-C2A3030DA996}">
            <xm:f>AND(K17="",VLOOKUP(K18,Calendars!$O$1:$U$398,MATCH($X$1,Calendars!$O$1:$U$1,0),FALSE)="")</xm:f>
            <x14:dxf>
              <fill>
                <patternFill>
                  <bgColor rgb="FFFF0000"/>
                </patternFill>
              </fill>
            </x14:dxf>
          </x14:cfRule>
          <xm:sqref>K17:N17</xm:sqref>
        </x14:conditionalFormatting>
        <x14:conditionalFormatting xmlns:xm="http://schemas.microsoft.com/office/excel/2006/main">
          <x14:cfRule type="expression" priority="951" id="{990830DA-270E-4F45-9102-E5CBB9E057C8}">
            <xm:f>VLOOKUP(J20,Calendars!$O$1:$U$398,MATCH($P$1,Calendars!$O$1:$U$1,0),FALSE)="Holiday"</xm:f>
            <x14:dxf>
              <fill>
                <patternFill>
                  <bgColor rgb="FFFF99FF"/>
                </patternFill>
              </fill>
            </x14:dxf>
          </x14:cfRule>
          <x14:cfRule type="expression" priority="952" id="{7086D1B4-4674-45DA-85F6-82C9D7872399}">
            <xm:f>VLOOKUP(J20,Calendars!$O$1:$U$398,MATCH($P$1,Calendars!$O$1:$U$1,0),FALSE)="Non Contract"</xm:f>
            <x14:dxf>
              <fill>
                <patternFill patternType="lightDown"/>
              </fill>
            </x14:dxf>
          </x14:cfRule>
          <xm:sqref>J19</xm:sqref>
        </x14:conditionalFormatting>
        <x14:conditionalFormatting xmlns:xm="http://schemas.microsoft.com/office/excel/2006/main">
          <x14:cfRule type="expression" priority="954" id="{629FB046-6C55-4083-97F6-8229991A79CC}">
            <xm:f>VLOOKUP(J20,Calendars!$O$1:$U$398,MATCH($P$1,Calendars!$O$1:$U$1,0),FALSE)=""</xm:f>
            <x14:dxf>
              <fill>
                <patternFill>
                  <bgColor rgb="FFFF0000"/>
                </patternFill>
              </fill>
            </x14:dxf>
          </x14:cfRule>
          <xm:sqref>J19</xm:sqref>
        </x14:conditionalFormatting>
        <x14:conditionalFormatting xmlns:xm="http://schemas.microsoft.com/office/excel/2006/main">
          <x14:cfRule type="expression" priority="947" id="{0D21CEB3-9F42-478B-98D0-C70E4D8532E2}">
            <xm:f>AND(J19="",VLOOKUP(J20,Calendars!$O$1:$U$398,MATCH($X$1,Calendars!$O$1:$U$1,0),FALSE)="")</xm:f>
            <x14:dxf>
              <fill>
                <patternFill>
                  <bgColor rgb="FFFF0000"/>
                </patternFill>
              </fill>
            </x14:dxf>
          </x14:cfRule>
          <xm:sqref>J19</xm:sqref>
        </x14:conditionalFormatting>
        <x14:conditionalFormatting xmlns:xm="http://schemas.microsoft.com/office/excel/2006/main">
          <x14:cfRule type="expression" priority="937" id="{FEF5397A-0D96-4167-B77F-0C30911E6E20}">
            <xm:f>VLOOKUP(K20,Calendars!$O$1:$U$398,MATCH($P$1,Calendars!$O$1:$U$1,0),FALSE)="Holiday"</xm:f>
            <x14:dxf>
              <fill>
                <patternFill>
                  <bgColor rgb="FFFF99FF"/>
                </patternFill>
              </fill>
            </x14:dxf>
          </x14:cfRule>
          <x14:cfRule type="expression" priority="938" id="{93D7CB1B-B422-418C-AF3F-CFD5BDE144E7}">
            <xm:f>VLOOKUP(K20,Calendars!$O$1:$U$398,MATCH($P$1,Calendars!$O$1:$U$1,0),FALSE)="Non Contract"</xm:f>
            <x14:dxf>
              <fill>
                <patternFill patternType="lightDown"/>
              </fill>
            </x14:dxf>
          </x14:cfRule>
          <xm:sqref>K19:N19</xm:sqref>
        </x14:conditionalFormatting>
        <x14:conditionalFormatting xmlns:xm="http://schemas.microsoft.com/office/excel/2006/main">
          <x14:cfRule type="expression" priority="940" id="{DFE98541-A0DA-46BE-99E0-CCF82AD43B35}">
            <xm:f>VLOOKUP(K20,Calendars!$O$1:$U$398,MATCH($P$1,Calendars!$O$1:$U$1,0),FALSE)=""</xm:f>
            <x14:dxf>
              <fill>
                <patternFill>
                  <bgColor rgb="FFFF0000"/>
                </patternFill>
              </fill>
            </x14:dxf>
          </x14:cfRule>
          <xm:sqref>K19:N19</xm:sqref>
        </x14:conditionalFormatting>
        <x14:conditionalFormatting xmlns:xm="http://schemas.microsoft.com/office/excel/2006/main">
          <x14:cfRule type="expression" priority="933" id="{484A6CC3-D21B-4D6A-A3EB-87F0D09B06C4}">
            <xm:f>AND(K19="",VLOOKUP(K20,Calendars!$O$1:$U$398,MATCH($X$1,Calendars!$O$1:$U$1,0),FALSE)="")</xm:f>
            <x14:dxf>
              <fill>
                <patternFill>
                  <bgColor rgb="FFFF0000"/>
                </patternFill>
              </fill>
            </x14:dxf>
          </x14:cfRule>
          <xm:sqref>K19:N19</xm:sqref>
        </x14:conditionalFormatting>
        <x14:conditionalFormatting xmlns:xm="http://schemas.microsoft.com/office/excel/2006/main">
          <x14:cfRule type="expression" priority="923" id="{8E707F6A-4253-4632-BCBE-3ED0F1B3F073}">
            <xm:f>VLOOKUP(J22,Calendars!$O$1:$U$398,MATCH($P$1,Calendars!$O$1:$U$1,0),FALSE)="Holiday"</xm:f>
            <x14:dxf>
              <fill>
                <patternFill>
                  <bgColor rgb="FFFF99FF"/>
                </patternFill>
              </fill>
            </x14:dxf>
          </x14:cfRule>
          <x14:cfRule type="expression" priority="924" id="{F439D1DC-B293-4990-AF0F-242E8FD5B8F3}">
            <xm:f>VLOOKUP(J22,Calendars!$O$1:$U$398,MATCH($P$1,Calendars!$O$1:$U$1,0),FALSE)="Non Contract"</xm:f>
            <x14:dxf>
              <fill>
                <patternFill patternType="lightDown"/>
              </fill>
            </x14:dxf>
          </x14:cfRule>
          <xm:sqref>J21</xm:sqref>
        </x14:conditionalFormatting>
        <x14:conditionalFormatting xmlns:xm="http://schemas.microsoft.com/office/excel/2006/main">
          <x14:cfRule type="expression" priority="926" id="{F1389964-A642-4DFC-9321-68EE2944918A}">
            <xm:f>VLOOKUP(J22,Calendars!$O$1:$U$398,MATCH($P$1,Calendars!$O$1:$U$1,0),FALSE)=""</xm:f>
            <x14:dxf>
              <fill>
                <patternFill>
                  <bgColor rgb="FFFF0000"/>
                </patternFill>
              </fill>
            </x14:dxf>
          </x14:cfRule>
          <xm:sqref>J21</xm:sqref>
        </x14:conditionalFormatting>
        <x14:conditionalFormatting xmlns:xm="http://schemas.microsoft.com/office/excel/2006/main">
          <x14:cfRule type="expression" priority="919" id="{6C680FE7-2103-4D5E-81A3-CFD54586FD53}">
            <xm:f>AND(J21="",VLOOKUP(J22,Calendars!$O$1:$U$398,MATCH($X$1,Calendars!$O$1:$U$1,0),FALSE)="")</xm:f>
            <x14:dxf>
              <fill>
                <patternFill>
                  <bgColor rgb="FFFF0000"/>
                </patternFill>
              </fill>
            </x14:dxf>
          </x14:cfRule>
          <xm:sqref>J21</xm:sqref>
        </x14:conditionalFormatting>
        <x14:conditionalFormatting xmlns:xm="http://schemas.microsoft.com/office/excel/2006/main">
          <x14:cfRule type="expression" priority="909" id="{4D2D00E7-A595-4F21-92A8-9E6CB089A394}">
            <xm:f>VLOOKUP(K22,Calendars!$O$1:$U$398,MATCH($P$1,Calendars!$O$1:$U$1,0),FALSE)="Holiday"</xm:f>
            <x14:dxf>
              <fill>
                <patternFill>
                  <bgColor rgb="FFFF99FF"/>
                </patternFill>
              </fill>
            </x14:dxf>
          </x14:cfRule>
          <x14:cfRule type="expression" priority="910" id="{333BE3D9-764E-4001-BEA5-059D4DF93A07}">
            <xm:f>VLOOKUP(K22,Calendars!$O$1:$U$398,MATCH($P$1,Calendars!$O$1:$U$1,0),FALSE)="Non Contract"</xm:f>
            <x14:dxf>
              <fill>
                <patternFill patternType="lightDown"/>
              </fill>
            </x14:dxf>
          </x14:cfRule>
          <xm:sqref>K21:N21</xm:sqref>
        </x14:conditionalFormatting>
        <x14:conditionalFormatting xmlns:xm="http://schemas.microsoft.com/office/excel/2006/main">
          <x14:cfRule type="expression" priority="912" id="{DEE9046F-61AB-4780-B6C0-DCB1A4005F88}">
            <xm:f>VLOOKUP(K22,Calendars!$O$1:$U$398,MATCH($P$1,Calendars!$O$1:$U$1,0),FALSE)=""</xm:f>
            <x14:dxf>
              <fill>
                <patternFill>
                  <bgColor rgb="FFFF0000"/>
                </patternFill>
              </fill>
            </x14:dxf>
          </x14:cfRule>
          <xm:sqref>K21:N21</xm:sqref>
        </x14:conditionalFormatting>
        <x14:conditionalFormatting xmlns:xm="http://schemas.microsoft.com/office/excel/2006/main">
          <x14:cfRule type="expression" priority="905" id="{96D12D1D-41F6-4FBD-91D0-67BA03EEF40A}">
            <xm:f>AND(K21="",VLOOKUP(K22,Calendars!$O$1:$U$398,MATCH($X$1,Calendars!$O$1:$U$1,0),FALSE)="")</xm:f>
            <x14:dxf>
              <fill>
                <patternFill>
                  <bgColor rgb="FFFF0000"/>
                </patternFill>
              </fill>
            </x14:dxf>
          </x14:cfRule>
          <xm:sqref>K21:N21</xm:sqref>
        </x14:conditionalFormatting>
        <x14:conditionalFormatting xmlns:xm="http://schemas.microsoft.com/office/excel/2006/main">
          <x14:cfRule type="expression" priority="895" id="{7689D939-FBF8-4B20-BCFE-0EF3154F6CC2}">
            <xm:f>VLOOKUP(J24,Calendars!$O$1:$U$398,MATCH($P$1,Calendars!$O$1:$U$1,0),FALSE)="Holiday"</xm:f>
            <x14:dxf>
              <fill>
                <patternFill>
                  <bgColor rgb="FFFF99FF"/>
                </patternFill>
              </fill>
            </x14:dxf>
          </x14:cfRule>
          <x14:cfRule type="expression" priority="896" id="{70EC451D-DA59-4ECF-8773-1CB35D6E641A}">
            <xm:f>VLOOKUP(J24,Calendars!$O$1:$U$398,MATCH($P$1,Calendars!$O$1:$U$1,0),FALSE)="Non Contract"</xm:f>
            <x14:dxf>
              <fill>
                <patternFill patternType="lightDown"/>
              </fill>
            </x14:dxf>
          </x14:cfRule>
          <xm:sqref>J23</xm:sqref>
        </x14:conditionalFormatting>
        <x14:conditionalFormatting xmlns:xm="http://schemas.microsoft.com/office/excel/2006/main">
          <x14:cfRule type="expression" priority="898" id="{30C0E15C-BB76-499D-A5A6-DDB6945EBB03}">
            <xm:f>VLOOKUP(J24,Calendars!$O$1:$U$398,MATCH($P$1,Calendars!$O$1:$U$1,0),FALSE)=""</xm:f>
            <x14:dxf>
              <fill>
                <patternFill>
                  <bgColor rgb="FFFF0000"/>
                </patternFill>
              </fill>
            </x14:dxf>
          </x14:cfRule>
          <xm:sqref>J23</xm:sqref>
        </x14:conditionalFormatting>
        <x14:conditionalFormatting xmlns:xm="http://schemas.microsoft.com/office/excel/2006/main">
          <x14:cfRule type="expression" priority="891" id="{459949AA-24C4-4B5D-9968-6C337E9FBEEF}">
            <xm:f>AND(J23="",VLOOKUP(J24,Calendars!$O$1:$U$398,MATCH($X$1,Calendars!$O$1:$U$1,0),FALSE)="")</xm:f>
            <x14:dxf>
              <fill>
                <patternFill>
                  <bgColor rgb="FFFF0000"/>
                </patternFill>
              </fill>
            </x14:dxf>
          </x14:cfRule>
          <xm:sqref>J23</xm:sqref>
        </x14:conditionalFormatting>
        <x14:conditionalFormatting xmlns:xm="http://schemas.microsoft.com/office/excel/2006/main">
          <x14:cfRule type="expression" priority="881" id="{B362A554-E569-4B95-AEFC-C8C3D4327751}">
            <xm:f>VLOOKUP(K24,Calendars!$O$1:$U$398,MATCH($P$1,Calendars!$O$1:$U$1,0),FALSE)="Holiday"</xm:f>
            <x14:dxf>
              <fill>
                <patternFill>
                  <bgColor rgb="FFFF99FF"/>
                </patternFill>
              </fill>
            </x14:dxf>
          </x14:cfRule>
          <x14:cfRule type="expression" priority="882" id="{12F1454A-6AC0-4E4D-9E7A-2895EFF0CD4D}">
            <xm:f>VLOOKUP(K24,Calendars!$O$1:$U$398,MATCH($P$1,Calendars!$O$1:$U$1,0),FALSE)="Non Contract"</xm:f>
            <x14:dxf>
              <fill>
                <patternFill patternType="lightDown"/>
              </fill>
            </x14:dxf>
          </x14:cfRule>
          <xm:sqref>K23:N23</xm:sqref>
        </x14:conditionalFormatting>
        <x14:conditionalFormatting xmlns:xm="http://schemas.microsoft.com/office/excel/2006/main">
          <x14:cfRule type="expression" priority="884" id="{AE03F4C0-7097-4EA3-BAC7-1A2027177148}">
            <xm:f>VLOOKUP(K24,Calendars!$O$1:$U$398,MATCH($P$1,Calendars!$O$1:$U$1,0),FALSE)=""</xm:f>
            <x14:dxf>
              <fill>
                <patternFill>
                  <bgColor rgb="FFFF0000"/>
                </patternFill>
              </fill>
            </x14:dxf>
          </x14:cfRule>
          <xm:sqref>K23:N23</xm:sqref>
        </x14:conditionalFormatting>
        <x14:conditionalFormatting xmlns:xm="http://schemas.microsoft.com/office/excel/2006/main">
          <x14:cfRule type="expression" priority="877" id="{A2CE3DDB-65E1-4C6C-AE89-DA36EE19CEE2}">
            <xm:f>AND(K23="",VLOOKUP(K24,Calendars!$O$1:$U$398,MATCH($X$1,Calendars!$O$1:$U$1,0),FALSE)="")</xm:f>
            <x14:dxf>
              <fill>
                <patternFill>
                  <bgColor rgb="FFFF0000"/>
                </patternFill>
              </fill>
            </x14:dxf>
          </x14:cfRule>
          <xm:sqref>K23:N23</xm:sqref>
        </x14:conditionalFormatting>
        <x14:conditionalFormatting xmlns:xm="http://schemas.microsoft.com/office/excel/2006/main">
          <x14:cfRule type="expression" priority="867" id="{69E3F7F5-9481-4701-BDC1-350FE77A2422}">
            <xm:f>VLOOKUP(J26,Calendars!$O$1:$U$398,MATCH($P$1,Calendars!$O$1:$U$1,0),FALSE)="Holiday"</xm:f>
            <x14:dxf>
              <fill>
                <patternFill>
                  <bgColor rgb="FFFF99FF"/>
                </patternFill>
              </fill>
            </x14:dxf>
          </x14:cfRule>
          <x14:cfRule type="expression" priority="868" id="{3A5A87E1-4E4B-4994-99F3-112E76953634}">
            <xm:f>VLOOKUP(J26,Calendars!$O$1:$U$398,MATCH($P$1,Calendars!$O$1:$U$1,0),FALSE)="Non Contract"</xm:f>
            <x14:dxf>
              <fill>
                <patternFill patternType="lightDown"/>
              </fill>
            </x14:dxf>
          </x14:cfRule>
          <xm:sqref>J25</xm:sqref>
        </x14:conditionalFormatting>
        <x14:conditionalFormatting xmlns:xm="http://schemas.microsoft.com/office/excel/2006/main">
          <x14:cfRule type="expression" priority="870" id="{2B37EA98-602D-44D6-B3F0-10BA675C494B}">
            <xm:f>VLOOKUP(J26,Calendars!$O$1:$U$398,MATCH($P$1,Calendars!$O$1:$U$1,0),FALSE)=""</xm:f>
            <x14:dxf>
              <fill>
                <patternFill>
                  <bgColor rgb="FFFF0000"/>
                </patternFill>
              </fill>
            </x14:dxf>
          </x14:cfRule>
          <xm:sqref>J25</xm:sqref>
        </x14:conditionalFormatting>
        <x14:conditionalFormatting xmlns:xm="http://schemas.microsoft.com/office/excel/2006/main">
          <x14:cfRule type="expression" priority="863" id="{DB21CBF0-6CBE-41A5-BE22-AA79B4FB6E98}">
            <xm:f>AND(J25="",VLOOKUP(J26,Calendars!$O$1:$U$398,MATCH($X$1,Calendars!$O$1:$U$1,0),FALSE)="")</xm:f>
            <x14:dxf>
              <fill>
                <patternFill>
                  <bgColor rgb="FFFF0000"/>
                </patternFill>
              </fill>
            </x14:dxf>
          </x14:cfRule>
          <xm:sqref>J25</xm:sqref>
        </x14:conditionalFormatting>
        <x14:conditionalFormatting xmlns:xm="http://schemas.microsoft.com/office/excel/2006/main">
          <x14:cfRule type="expression" priority="853" id="{BB31F924-AD01-4FC1-9F03-498E9353E864}">
            <xm:f>VLOOKUP(K26,Calendars!$O$1:$U$398,MATCH($P$1,Calendars!$O$1:$U$1,0),FALSE)="Holiday"</xm:f>
            <x14:dxf>
              <fill>
                <patternFill>
                  <bgColor rgb="FFFF99FF"/>
                </patternFill>
              </fill>
            </x14:dxf>
          </x14:cfRule>
          <x14:cfRule type="expression" priority="854" id="{E6089D34-65F2-44E6-986C-7D423C29BB49}">
            <xm:f>VLOOKUP(K26,Calendars!$O$1:$U$398,MATCH($P$1,Calendars!$O$1:$U$1,0),FALSE)="Non Contract"</xm:f>
            <x14:dxf>
              <fill>
                <patternFill patternType="lightDown"/>
              </fill>
            </x14:dxf>
          </x14:cfRule>
          <xm:sqref>K25:N25</xm:sqref>
        </x14:conditionalFormatting>
        <x14:conditionalFormatting xmlns:xm="http://schemas.microsoft.com/office/excel/2006/main">
          <x14:cfRule type="expression" priority="856" id="{4EBB5781-BF18-4D48-90CE-28895A9DBB2E}">
            <xm:f>VLOOKUP(K26,Calendars!$O$1:$U$398,MATCH($P$1,Calendars!$O$1:$U$1,0),FALSE)=""</xm:f>
            <x14:dxf>
              <fill>
                <patternFill>
                  <bgColor rgb="FFFF0000"/>
                </patternFill>
              </fill>
            </x14:dxf>
          </x14:cfRule>
          <xm:sqref>K25:N25</xm:sqref>
        </x14:conditionalFormatting>
        <x14:conditionalFormatting xmlns:xm="http://schemas.microsoft.com/office/excel/2006/main">
          <x14:cfRule type="expression" priority="849" id="{D0EF54F6-F6BC-481B-BBA5-86CCB075026D}">
            <xm:f>AND(K25="",VLOOKUP(K26,Calendars!$O$1:$U$398,MATCH($X$1,Calendars!$O$1:$U$1,0),FALSE)="")</xm:f>
            <x14:dxf>
              <fill>
                <patternFill>
                  <bgColor rgb="FFFF0000"/>
                </patternFill>
              </fill>
            </x14:dxf>
          </x14:cfRule>
          <xm:sqref>K25:N25</xm:sqref>
        </x14:conditionalFormatting>
        <x14:conditionalFormatting xmlns:xm="http://schemas.microsoft.com/office/excel/2006/main">
          <x14:cfRule type="expression" priority="839" id="{16163C38-742F-45FF-B142-4031952EB580}">
            <xm:f>VLOOKUP(Q18,Calendars!$O$1:$U$398,MATCH($P$1,Calendars!$O$1:$U$1,0),FALSE)="Holiday"</xm:f>
            <x14:dxf>
              <fill>
                <patternFill>
                  <bgColor rgb="FFFF99FF"/>
                </patternFill>
              </fill>
            </x14:dxf>
          </x14:cfRule>
          <x14:cfRule type="expression" priority="840" id="{71BC672F-A1FC-484A-A1E1-AA2A4F045BFF}">
            <xm:f>VLOOKUP(Q18,Calendars!$O$1:$U$398,MATCH($P$1,Calendars!$O$1:$U$1,0),FALSE)="Non Contract"</xm:f>
            <x14:dxf>
              <fill>
                <patternFill patternType="lightDown"/>
              </fill>
            </x14:dxf>
          </x14:cfRule>
          <xm:sqref>Q17</xm:sqref>
        </x14:conditionalFormatting>
        <x14:conditionalFormatting xmlns:xm="http://schemas.microsoft.com/office/excel/2006/main">
          <x14:cfRule type="expression" priority="842" id="{6FD2E50F-D028-41DE-ADAD-EA29646947D7}">
            <xm:f>VLOOKUP(Q18,Calendars!$O$1:$U$398,MATCH($P$1,Calendars!$O$1:$U$1,0),FALSE)=""</xm:f>
            <x14:dxf>
              <fill>
                <patternFill>
                  <bgColor rgb="FFFF0000"/>
                </patternFill>
              </fill>
            </x14:dxf>
          </x14:cfRule>
          <xm:sqref>Q17</xm:sqref>
        </x14:conditionalFormatting>
        <x14:conditionalFormatting xmlns:xm="http://schemas.microsoft.com/office/excel/2006/main">
          <x14:cfRule type="expression" priority="835" id="{CF775264-707E-487C-A8F2-66CDA8613DAB}">
            <xm:f>AND(Q17="",VLOOKUP(Q18,Calendars!$O$1:$U$398,MATCH($X$1,Calendars!$O$1:$U$1,0),FALSE)="")</xm:f>
            <x14:dxf>
              <fill>
                <patternFill>
                  <bgColor rgb="FFFF0000"/>
                </patternFill>
              </fill>
            </x14:dxf>
          </x14:cfRule>
          <xm:sqref>Q17</xm:sqref>
        </x14:conditionalFormatting>
        <x14:conditionalFormatting xmlns:xm="http://schemas.microsoft.com/office/excel/2006/main">
          <x14:cfRule type="expression" priority="825" id="{D4FA6687-EBFF-405D-846E-90A5A6041B09}">
            <xm:f>VLOOKUP(R18,Calendars!$O$1:$U$398,MATCH($P$1,Calendars!$O$1:$U$1,0),FALSE)="Holiday"</xm:f>
            <x14:dxf>
              <fill>
                <patternFill>
                  <bgColor rgb="FFFF99FF"/>
                </patternFill>
              </fill>
            </x14:dxf>
          </x14:cfRule>
          <x14:cfRule type="expression" priority="826" id="{F96B24AE-6E52-41B6-B3F2-C6E2386916E2}">
            <xm:f>VLOOKUP(R18,Calendars!$O$1:$U$398,MATCH($P$1,Calendars!$O$1:$U$1,0),FALSE)="Non Contract"</xm:f>
            <x14:dxf>
              <fill>
                <patternFill patternType="lightDown"/>
              </fill>
            </x14:dxf>
          </x14:cfRule>
          <xm:sqref>R17:U17</xm:sqref>
        </x14:conditionalFormatting>
        <x14:conditionalFormatting xmlns:xm="http://schemas.microsoft.com/office/excel/2006/main">
          <x14:cfRule type="expression" priority="828" id="{B7EE0DED-36C0-498A-91F2-99621E7E3836}">
            <xm:f>VLOOKUP(R18,Calendars!$O$1:$U$398,MATCH($P$1,Calendars!$O$1:$U$1,0),FALSE)=""</xm:f>
            <x14:dxf>
              <fill>
                <patternFill>
                  <bgColor rgb="FFFF0000"/>
                </patternFill>
              </fill>
            </x14:dxf>
          </x14:cfRule>
          <xm:sqref>R17:U17</xm:sqref>
        </x14:conditionalFormatting>
        <x14:conditionalFormatting xmlns:xm="http://schemas.microsoft.com/office/excel/2006/main">
          <x14:cfRule type="expression" priority="821" id="{BA2D2E0E-D418-44F5-A06E-B87E4E739D06}">
            <xm:f>AND(R17="",VLOOKUP(R18,Calendars!$O$1:$U$398,MATCH($X$1,Calendars!$O$1:$U$1,0),FALSE)="")</xm:f>
            <x14:dxf>
              <fill>
                <patternFill>
                  <bgColor rgb="FFFF0000"/>
                </patternFill>
              </fill>
            </x14:dxf>
          </x14:cfRule>
          <xm:sqref>R17:U17</xm:sqref>
        </x14:conditionalFormatting>
        <x14:conditionalFormatting xmlns:xm="http://schemas.microsoft.com/office/excel/2006/main">
          <x14:cfRule type="expression" priority="811" id="{38E7FB50-F6E8-42F4-BDB5-F8618F5576D4}">
            <xm:f>VLOOKUP(Q20,Calendars!$O$1:$U$398,MATCH($P$1,Calendars!$O$1:$U$1,0),FALSE)="Holiday"</xm:f>
            <x14:dxf>
              <fill>
                <patternFill>
                  <bgColor rgb="FFFF99FF"/>
                </patternFill>
              </fill>
            </x14:dxf>
          </x14:cfRule>
          <x14:cfRule type="expression" priority="812" id="{9CE279D5-FC19-4963-B020-DFFBE4ADA9DF}">
            <xm:f>VLOOKUP(Q20,Calendars!$O$1:$U$398,MATCH($P$1,Calendars!$O$1:$U$1,0),FALSE)="Non Contract"</xm:f>
            <x14:dxf>
              <fill>
                <patternFill patternType="lightDown"/>
              </fill>
            </x14:dxf>
          </x14:cfRule>
          <xm:sqref>Q19</xm:sqref>
        </x14:conditionalFormatting>
        <x14:conditionalFormatting xmlns:xm="http://schemas.microsoft.com/office/excel/2006/main">
          <x14:cfRule type="expression" priority="814" id="{63441570-814C-4B12-89BC-BCCB41E52CF1}">
            <xm:f>VLOOKUP(Q20,Calendars!$O$1:$U$398,MATCH($P$1,Calendars!$O$1:$U$1,0),FALSE)=""</xm:f>
            <x14:dxf>
              <fill>
                <patternFill>
                  <bgColor rgb="FFFF0000"/>
                </patternFill>
              </fill>
            </x14:dxf>
          </x14:cfRule>
          <xm:sqref>Q19</xm:sqref>
        </x14:conditionalFormatting>
        <x14:conditionalFormatting xmlns:xm="http://schemas.microsoft.com/office/excel/2006/main">
          <x14:cfRule type="expression" priority="807" id="{39AFDE46-ACCE-4541-A380-DFB6B3E80DAD}">
            <xm:f>AND(Q19="",VLOOKUP(Q20,Calendars!$O$1:$U$398,MATCH($X$1,Calendars!$O$1:$U$1,0),FALSE)="")</xm:f>
            <x14:dxf>
              <fill>
                <patternFill>
                  <bgColor rgb="FFFF0000"/>
                </patternFill>
              </fill>
            </x14:dxf>
          </x14:cfRule>
          <xm:sqref>Q19</xm:sqref>
        </x14:conditionalFormatting>
        <x14:conditionalFormatting xmlns:xm="http://schemas.microsoft.com/office/excel/2006/main">
          <x14:cfRule type="expression" priority="797" id="{1D3A8DD1-F55C-469F-874A-C0CBB8507910}">
            <xm:f>VLOOKUP(R20,Calendars!$O$1:$U$398,MATCH($P$1,Calendars!$O$1:$U$1,0),FALSE)="Holiday"</xm:f>
            <x14:dxf>
              <fill>
                <patternFill>
                  <bgColor rgb="FFFF99FF"/>
                </patternFill>
              </fill>
            </x14:dxf>
          </x14:cfRule>
          <x14:cfRule type="expression" priority="798" id="{604C2800-E5F1-4B26-AD91-F02BF90665EE}">
            <xm:f>VLOOKUP(R20,Calendars!$O$1:$U$398,MATCH($P$1,Calendars!$O$1:$U$1,0),FALSE)="Non Contract"</xm:f>
            <x14:dxf>
              <fill>
                <patternFill patternType="lightDown"/>
              </fill>
            </x14:dxf>
          </x14:cfRule>
          <xm:sqref>R19:U19</xm:sqref>
        </x14:conditionalFormatting>
        <x14:conditionalFormatting xmlns:xm="http://schemas.microsoft.com/office/excel/2006/main">
          <x14:cfRule type="expression" priority="800" id="{84B43B80-5891-49BB-ADFE-DADAC25FDE7C}">
            <xm:f>VLOOKUP(R20,Calendars!$O$1:$U$398,MATCH($P$1,Calendars!$O$1:$U$1,0),FALSE)=""</xm:f>
            <x14:dxf>
              <fill>
                <patternFill>
                  <bgColor rgb="FFFF0000"/>
                </patternFill>
              </fill>
            </x14:dxf>
          </x14:cfRule>
          <xm:sqref>R19:U19</xm:sqref>
        </x14:conditionalFormatting>
        <x14:conditionalFormatting xmlns:xm="http://schemas.microsoft.com/office/excel/2006/main">
          <x14:cfRule type="expression" priority="793" id="{186A53F1-C739-43B7-BABF-55D9D43FE0F0}">
            <xm:f>AND(R19="",VLOOKUP(R20,Calendars!$O$1:$U$398,MATCH($X$1,Calendars!$O$1:$U$1,0),FALSE)="")</xm:f>
            <x14:dxf>
              <fill>
                <patternFill>
                  <bgColor rgb="FFFF0000"/>
                </patternFill>
              </fill>
            </x14:dxf>
          </x14:cfRule>
          <xm:sqref>R19:U19</xm:sqref>
        </x14:conditionalFormatting>
        <x14:conditionalFormatting xmlns:xm="http://schemas.microsoft.com/office/excel/2006/main">
          <x14:cfRule type="expression" priority="783" id="{798F27C6-45B6-4ABD-A5C2-9628A2F4C98E}">
            <xm:f>VLOOKUP(Q22,Calendars!$O$1:$U$398,MATCH($P$1,Calendars!$O$1:$U$1,0),FALSE)="Holiday"</xm:f>
            <x14:dxf>
              <fill>
                <patternFill>
                  <bgColor rgb="FFFF99FF"/>
                </patternFill>
              </fill>
            </x14:dxf>
          </x14:cfRule>
          <x14:cfRule type="expression" priority="784" id="{516DA38D-5C8E-4FF6-AA73-94FCF3E01892}">
            <xm:f>VLOOKUP(Q22,Calendars!$O$1:$U$398,MATCH($P$1,Calendars!$O$1:$U$1,0),FALSE)="Non Contract"</xm:f>
            <x14:dxf>
              <fill>
                <patternFill patternType="lightDown"/>
              </fill>
            </x14:dxf>
          </x14:cfRule>
          <xm:sqref>Q21</xm:sqref>
        </x14:conditionalFormatting>
        <x14:conditionalFormatting xmlns:xm="http://schemas.microsoft.com/office/excel/2006/main">
          <x14:cfRule type="expression" priority="786" id="{B15EC282-10BB-4AF5-A1E0-9616A2CC6114}">
            <xm:f>VLOOKUP(Q22,Calendars!$O$1:$U$398,MATCH($P$1,Calendars!$O$1:$U$1,0),FALSE)=""</xm:f>
            <x14:dxf>
              <fill>
                <patternFill>
                  <bgColor rgb="FFFF0000"/>
                </patternFill>
              </fill>
            </x14:dxf>
          </x14:cfRule>
          <xm:sqref>Q21</xm:sqref>
        </x14:conditionalFormatting>
        <x14:conditionalFormatting xmlns:xm="http://schemas.microsoft.com/office/excel/2006/main">
          <x14:cfRule type="expression" priority="779" id="{EDA4F917-27EF-4F50-B855-880975A885B9}">
            <xm:f>AND(Q21="",VLOOKUP(Q22,Calendars!$O$1:$U$398,MATCH($X$1,Calendars!$O$1:$U$1,0),FALSE)="")</xm:f>
            <x14:dxf>
              <fill>
                <patternFill>
                  <bgColor rgb="FFFF0000"/>
                </patternFill>
              </fill>
            </x14:dxf>
          </x14:cfRule>
          <xm:sqref>Q21</xm:sqref>
        </x14:conditionalFormatting>
        <x14:conditionalFormatting xmlns:xm="http://schemas.microsoft.com/office/excel/2006/main">
          <x14:cfRule type="expression" priority="769" id="{4CC12080-85C0-4D6D-9FFC-A290445E3B22}">
            <xm:f>VLOOKUP(R22,Calendars!$O$1:$U$398,MATCH($P$1,Calendars!$O$1:$U$1,0),FALSE)="Holiday"</xm:f>
            <x14:dxf>
              <fill>
                <patternFill>
                  <bgColor rgb="FFFF99FF"/>
                </patternFill>
              </fill>
            </x14:dxf>
          </x14:cfRule>
          <x14:cfRule type="expression" priority="770" id="{490514B3-7E92-49F2-9A68-82873C602E53}">
            <xm:f>VLOOKUP(R22,Calendars!$O$1:$U$398,MATCH($P$1,Calendars!$O$1:$U$1,0),FALSE)="Non Contract"</xm:f>
            <x14:dxf>
              <fill>
                <patternFill patternType="lightDown"/>
              </fill>
            </x14:dxf>
          </x14:cfRule>
          <xm:sqref>R21:U21</xm:sqref>
        </x14:conditionalFormatting>
        <x14:conditionalFormatting xmlns:xm="http://schemas.microsoft.com/office/excel/2006/main">
          <x14:cfRule type="expression" priority="772" id="{FD1E68F0-9A4D-45B8-AE2D-AA3ABB3BE3E6}">
            <xm:f>VLOOKUP(R22,Calendars!$O$1:$U$398,MATCH($P$1,Calendars!$O$1:$U$1,0),FALSE)=""</xm:f>
            <x14:dxf>
              <fill>
                <patternFill>
                  <bgColor rgb="FFFF0000"/>
                </patternFill>
              </fill>
            </x14:dxf>
          </x14:cfRule>
          <xm:sqref>R21:U21</xm:sqref>
        </x14:conditionalFormatting>
        <x14:conditionalFormatting xmlns:xm="http://schemas.microsoft.com/office/excel/2006/main">
          <x14:cfRule type="expression" priority="765" id="{B22364DA-976A-445D-A93A-893819C73B50}">
            <xm:f>AND(R21="",VLOOKUP(R22,Calendars!$O$1:$U$398,MATCH($X$1,Calendars!$O$1:$U$1,0),FALSE)="")</xm:f>
            <x14:dxf>
              <fill>
                <patternFill>
                  <bgColor rgb="FFFF0000"/>
                </patternFill>
              </fill>
            </x14:dxf>
          </x14:cfRule>
          <xm:sqref>R21:U21</xm:sqref>
        </x14:conditionalFormatting>
        <x14:conditionalFormatting xmlns:xm="http://schemas.microsoft.com/office/excel/2006/main">
          <x14:cfRule type="expression" priority="755" id="{ABF137B2-FA9C-4C82-8EFD-3BED5F2F9262}">
            <xm:f>VLOOKUP(Q24,Calendars!$O$1:$U$398,MATCH($P$1,Calendars!$O$1:$U$1,0),FALSE)="Holiday"</xm:f>
            <x14:dxf>
              <fill>
                <patternFill>
                  <bgColor rgb="FFFF99FF"/>
                </patternFill>
              </fill>
            </x14:dxf>
          </x14:cfRule>
          <x14:cfRule type="expression" priority="756" id="{CBEF7876-26DD-41D5-8C98-1C7139528689}">
            <xm:f>VLOOKUP(Q24,Calendars!$O$1:$U$398,MATCH($P$1,Calendars!$O$1:$U$1,0),FALSE)="Non Contract"</xm:f>
            <x14:dxf>
              <fill>
                <patternFill patternType="lightDown"/>
              </fill>
            </x14:dxf>
          </x14:cfRule>
          <xm:sqref>Q23</xm:sqref>
        </x14:conditionalFormatting>
        <x14:conditionalFormatting xmlns:xm="http://schemas.microsoft.com/office/excel/2006/main">
          <x14:cfRule type="expression" priority="758" id="{E9E6A3D0-3137-44DE-B351-1845C1C7A45B}">
            <xm:f>VLOOKUP(Q24,Calendars!$O$1:$U$398,MATCH($P$1,Calendars!$O$1:$U$1,0),FALSE)=""</xm:f>
            <x14:dxf>
              <fill>
                <patternFill>
                  <bgColor rgb="FFFF0000"/>
                </patternFill>
              </fill>
            </x14:dxf>
          </x14:cfRule>
          <xm:sqref>Q23</xm:sqref>
        </x14:conditionalFormatting>
        <x14:conditionalFormatting xmlns:xm="http://schemas.microsoft.com/office/excel/2006/main">
          <x14:cfRule type="expression" priority="751" id="{A714DDF5-3EFF-4B86-8D23-AA0795A2950C}">
            <xm:f>AND(Q23="",VLOOKUP(Q24,Calendars!$O$1:$U$398,MATCH($X$1,Calendars!$O$1:$U$1,0),FALSE)="")</xm:f>
            <x14:dxf>
              <fill>
                <patternFill>
                  <bgColor rgb="FFFF0000"/>
                </patternFill>
              </fill>
            </x14:dxf>
          </x14:cfRule>
          <xm:sqref>Q23</xm:sqref>
        </x14:conditionalFormatting>
        <x14:conditionalFormatting xmlns:xm="http://schemas.microsoft.com/office/excel/2006/main">
          <x14:cfRule type="expression" priority="741" id="{F7989CC6-BE9A-483A-B537-D5725E947092}">
            <xm:f>VLOOKUP(R24,Calendars!$O$1:$U$398,MATCH($P$1,Calendars!$O$1:$U$1,0),FALSE)="Holiday"</xm:f>
            <x14:dxf>
              <fill>
                <patternFill>
                  <bgColor rgb="FFFF99FF"/>
                </patternFill>
              </fill>
            </x14:dxf>
          </x14:cfRule>
          <x14:cfRule type="expression" priority="742" id="{3127F6F4-6C51-4A1E-971F-B4CFB4FAF04A}">
            <xm:f>VLOOKUP(R24,Calendars!$O$1:$U$398,MATCH($P$1,Calendars!$O$1:$U$1,0),FALSE)="Non Contract"</xm:f>
            <x14:dxf>
              <fill>
                <patternFill patternType="lightDown"/>
              </fill>
            </x14:dxf>
          </x14:cfRule>
          <xm:sqref>R23:U23</xm:sqref>
        </x14:conditionalFormatting>
        <x14:conditionalFormatting xmlns:xm="http://schemas.microsoft.com/office/excel/2006/main">
          <x14:cfRule type="expression" priority="744" id="{9A0DE4AC-6BC0-4E98-A9A8-754DFB40A14A}">
            <xm:f>VLOOKUP(R24,Calendars!$O$1:$U$398,MATCH($P$1,Calendars!$O$1:$U$1,0),FALSE)=""</xm:f>
            <x14:dxf>
              <fill>
                <patternFill>
                  <bgColor rgb="FFFF0000"/>
                </patternFill>
              </fill>
            </x14:dxf>
          </x14:cfRule>
          <xm:sqref>R23:U23</xm:sqref>
        </x14:conditionalFormatting>
        <x14:conditionalFormatting xmlns:xm="http://schemas.microsoft.com/office/excel/2006/main">
          <x14:cfRule type="expression" priority="737" id="{1DCC6BDB-3972-4E5B-A221-6AAF33581676}">
            <xm:f>AND(R23="",VLOOKUP(R24,Calendars!$O$1:$U$398,MATCH($X$1,Calendars!$O$1:$U$1,0),FALSE)="")</xm:f>
            <x14:dxf>
              <fill>
                <patternFill>
                  <bgColor rgb="FFFF0000"/>
                </patternFill>
              </fill>
            </x14:dxf>
          </x14:cfRule>
          <xm:sqref>R23:U23</xm:sqref>
        </x14:conditionalFormatting>
        <x14:conditionalFormatting xmlns:xm="http://schemas.microsoft.com/office/excel/2006/main">
          <x14:cfRule type="expression" priority="727" id="{577FD9A7-5C76-443C-B033-79DB45BDFAB0}">
            <xm:f>VLOOKUP(Q26,Calendars!$O$1:$U$398,MATCH($P$1,Calendars!$O$1:$U$1,0),FALSE)="Holiday"</xm:f>
            <x14:dxf>
              <fill>
                <patternFill>
                  <bgColor rgb="FFFF99FF"/>
                </patternFill>
              </fill>
            </x14:dxf>
          </x14:cfRule>
          <x14:cfRule type="expression" priority="728" id="{9FC16CA5-04C4-44C8-BEAD-A60DDEA11037}">
            <xm:f>VLOOKUP(Q26,Calendars!$O$1:$U$398,MATCH($P$1,Calendars!$O$1:$U$1,0),FALSE)="Non Contract"</xm:f>
            <x14:dxf>
              <fill>
                <patternFill patternType="lightDown"/>
              </fill>
            </x14:dxf>
          </x14:cfRule>
          <xm:sqref>Q25</xm:sqref>
        </x14:conditionalFormatting>
        <x14:conditionalFormatting xmlns:xm="http://schemas.microsoft.com/office/excel/2006/main">
          <x14:cfRule type="expression" priority="730" id="{3F7AAEC0-0160-4AF3-BEC6-8EBCD665F011}">
            <xm:f>VLOOKUP(Q26,Calendars!$O$1:$U$398,MATCH($P$1,Calendars!$O$1:$U$1,0),FALSE)=""</xm:f>
            <x14:dxf>
              <fill>
                <patternFill>
                  <bgColor rgb="FFFF0000"/>
                </patternFill>
              </fill>
            </x14:dxf>
          </x14:cfRule>
          <xm:sqref>Q25</xm:sqref>
        </x14:conditionalFormatting>
        <x14:conditionalFormatting xmlns:xm="http://schemas.microsoft.com/office/excel/2006/main">
          <x14:cfRule type="expression" priority="723" id="{867D6CAE-3F6F-4E35-A36D-F88B191C5278}">
            <xm:f>AND(Q25="",VLOOKUP(Q26,Calendars!$O$1:$U$398,MATCH($X$1,Calendars!$O$1:$U$1,0),FALSE)="")</xm:f>
            <x14:dxf>
              <fill>
                <patternFill>
                  <bgColor rgb="FFFF0000"/>
                </patternFill>
              </fill>
            </x14:dxf>
          </x14:cfRule>
          <xm:sqref>Q25</xm:sqref>
        </x14:conditionalFormatting>
        <x14:conditionalFormatting xmlns:xm="http://schemas.microsoft.com/office/excel/2006/main">
          <x14:cfRule type="expression" priority="713" id="{D505603C-02B3-4F42-BD50-62DC2F86E9D7}">
            <xm:f>VLOOKUP(R26,Calendars!$O$1:$U$398,MATCH($P$1,Calendars!$O$1:$U$1,0),FALSE)="Holiday"</xm:f>
            <x14:dxf>
              <fill>
                <patternFill>
                  <bgColor rgb="FFFF99FF"/>
                </patternFill>
              </fill>
            </x14:dxf>
          </x14:cfRule>
          <x14:cfRule type="expression" priority="714" id="{A4A32A29-1128-48C4-94C9-760EE234364A}">
            <xm:f>VLOOKUP(R26,Calendars!$O$1:$U$398,MATCH($P$1,Calendars!$O$1:$U$1,0),FALSE)="Non Contract"</xm:f>
            <x14:dxf>
              <fill>
                <patternFill patternType="lightDown"/>
              </fill>
            </x14:dxf>
          </x14:cfRule>
          <xm:sqref>R25:U25</xm:sqref>
        </x14:conditionalFormatting>
        <x14:conditionalFormatting xmlns:xm="http://schemas.microsoft.com/office/excel/2006/main">
          <x14:cfRule type="expression" priority="716" id="{7EAAC903-95E9-4577-954B-2A09A7DF02C6}">
            <xm:f>VLOOKUP(R26,Calendars!$O$1:$U$398,MATCH($P$1,Calendars!$O$1:$U$1,0),FALSE)=""</xm:f>
            <x14:dxf>
              <fill>
                <patternFill>
                  <bgColor rgb="FFFF0000"/>
                </patternFill>
              </fill>
            </x14:dxf>
          </x14:cfRule>
          <xm:sqref>R25:U25</xm:sqref>
        </x14:conditionalFormatting>
        <x14:conditionalFormatting xmlns:xm="http://schemas.microsoft.com/office/excel/2006/main">
          <x14:cfRule type="expression" priority="709" id="{09F2B616-95D6-4B46-98DE-8ECD7F8204B6}">
            <xm:f>AND(R25="",VLOOKUP(R26,Calendars!$O$1:$U$398,MATCH($X$1,Calendars!$O$1:$U$1,0),FALSE)="")</xm:f>
            <x14:dxf>
              <fill>
                <patternFill>
                  <bgColor rgb="FFFF0000"/>
                </patternFill>
              </fill>
            </x14:dxf>
          </x14:cfRule>
          <xm:sqref>R25:U25</xm:sqref>
        </x14:conditionalFormatting>
        <x14:conditionalFormatting xmlns:xm="http://schemas.microsoft.com/office/excel/2006/main">
          <x14:cfRule type="expression" priority="699" id="{E340DFD2-3A89-4CE9-BB8B-A124F396EB2A}">
            <xm:f>VLOOKUP(X18,Calendars!$O$1:$U$398,MATCH($P$1,Calendars!$O$1:$U$1,0),FALSE)="Holiday"</xm:f>
            <x14:dxf>
              <fill>
                <patternFill>
                  <bgColor rgb="FFFF99FF"/>
                </patternFill>
              </fill>
            </x14:dxf>
          </x14:cfRule>
          <x14:cfRule type="expression" priority="700" id="{9A5EE7D0-2DB7-4479-B439-FB5F5542D697}">
            <xm:f>VLOOKUP(X18,Calendars!$O$1:$U$398,MATCH($P$1,Calendars!$O$1:$U$1,0),FALSE)="Non Contract"</xm:f>
            <x14:dxf>
              <fill>
                <patternFill patternType="lightDown"/>
              </fill>
            </x14:dxf>
          </x14:cfRule>
          <xm:sqref>X17</xm:sqref>
        </x14:conditionalFormatting>
        <x14:conditionalFormatting xmlns:xm="http://schemas.microsoft.com/office/excel/2006/main">
          <x14:cfRule type="expression" priority="702" id="{1CB020BA-A890-452A-80A8-FDEE2429F597}">
            <xm:f>VLOOKUP(X18,Calendars!$O$1:$U$398,MATCH($P$1,Calendars!$O$1:$U$1,0),FALSE)=""</xm:f>
            <x14:dxf>
              <fill>
                <patternFill>
                  <bgColor rgb="FFFF0000"/>
                </patternFill>
              </fill>
            </x14:dxf>
          </x14:cfRule>
          <xm:sqref>X17</xm:sqref>
        </x14:conditionalFormatting>
        <x14:conditionalFormatting xmlns:xm="http://schemas.microsoft.com/office/excel/2006/main">
          <x14:cfRule type="expression" priority="695" id="{7CAE0139-4B56-462D-9BE2-CBF7CFF5A7EA}">
            <xm:f>AND(X17="",VLOOKUP(X18,Calendars!$O$1:$U$398,MATCH($X$1,Calendars!$O$1:$U$1,0),FALSE)="")</xm:f>
            <x14:dxf>
              <fill>
                <patternFill>
                  <bgColor rgb="FFFF0000"/>
                </patternFill>
              </fill>
            </x14:dxf>
          </x14:cfRule>
          <xm:sqref>X17</xm:sqref>
        </x14:conditionalFormatting>
        <x14:conditionalFormatting xmlns:xm="http://schemas.microsoft.com/office/excel/2006/main">
          <x14:cfRule type="expression" priority="685" id="{F1078C2F-4699-449B-9462-96A8DD1AC847}">
            <xm:f>VLOOKUP(Y18,Calendars!$O$1:$U$398,MATCH($P$1,Calendars!$O$1:$U$1,0),FALSE)="Holiday"</xm:f>
            <x14:dxf>
              <fill>
                <patternFill>
                  <bgColor rgb="FFFF99FF"/>
                </patternFill>
              </fill>
            </x14:dxf>
          </x14:cfRule>
          <x14:cfRule type="expression" priority="686" id="{4E531403-3601-49A7-863C-B791F2D32851}">
            <xm:f>VLOOKUP(Y18,Calendars!$O$1:$U$398,MATCH($P$1,Calendars!$O$1:$U$1,0),FALSE)="Non Contract"</xm:f>
            <x14:dxf>
              <fill>
                <patternFill patternType="lightDown"/>
              </fill>
            </x14:dxf>
          </x14:cfRule>
          <xm:sqref>Y17:AB17</xm:sqref>
        </x14:conditionalFormatting>
        <x14:conditionalFormatting xmlns:xm="http://schemas.microsoft.com/office/excel/2006/main">
          <x14:cfRule type="expression" priority="688" id="{E1213803-8750-4EE5-9BA4-EC4584962084}">
            <xm:f>VLOOKUP(Y18,Calendars!$O$1:$U$398,MATCH($P$1,Calendars!$O$1:$U$1,0),FALSE)=""</xm:f>
            <x14:dxf>
              <fill>
                <patternFill>
                  <bgColor rgb="FFFF0000"/>
                </patternFill>
              </fill>
            </x14:dxf>
          </x14:cfRule>
          <xm:sqref>Y17:AB17</xm:sqref>
        </x14:conditionalFormatting>
        <x14:conditionalFormatting xmlns:xm="http://schemas.microsoft.com/office/excel/2006/main">
          <x14:cfRule type="expression" priority="681" id="{33E0272C-D304-44F4-8503-54EE18C4F732}">
            <xm:f>AND(Y17="",VLOOKUP(Y18,Calendars!$O$1:$U$398,MATCH($X$1,Calendars!$O$1:$U$1,0),FALSE)="")</xm:f>
            <x14:dxf>
              <fill>
                <patternFill>
                  <bgColor rgb="FFFF0000"/>
                </patternFill>
              </fill>
            </x14:dxf>
          </x14:cfRule>
          <xm:sqref>Y17:AB17</xm:sqref>
        </x14:conditionalFormatting>
        <x14:conditionalFormatting xmlns:xm="http://schemas.microsoft.com/office/excel/2006/main">
          <x14:cfRule type="expression" priority="671" id="{E2FA3A81-DD87-4A1F-BD59-4E84ED82364B}">
            <xm:f>VLOOKUP(X20,Calendars!$O$1:$U$398,MATCH($P$1,Calendars!$O$1:$U$1,0),FALSE)="Holiday"</xm:f>
            <x14:dxf>
              <fill>
                <patternFill>
                  <bgColor rgb="FFFF99FF"/>
                </patternFill>
              </fill>
            </x14:dxf>
          </x14:cfRule>
          <x14:cfRule type="expression" priority="672" id="{FC260A5D-44A0-4478-81CC-62561A2CE24F}">
            <xm:f>VLOOKUP(X20,Calendars!$O$1:$U$398,MATCH($P$1,Calendars!$O$1:$U$1,0),FALSE)="Non Contract"</xm:f>
            <x14:dxf>
              <fill>
                <patternFill patternType="lightDown"/>
              </fill>
            </x14:dxf>
          </x14:cfRule>
          <xm:sqref>X19</xm:sqref>
        </x14:conditionalFormatting>
        <x14:conditionalFormatting xmlns:xm="http://schemas.microsoft.com/office/excel/2006/main">
          <x14:cfRule type="expression" priority="674" id="{162CCDF7-C73C-484F-A0B5-B227B67B63C8}">
            <xm:f>VLOOKUP(X20,Calendars!$O$1:$U$398,MATCH($P$1,Calendars!$O$1:$U$1,0),FALSE)=""</xm:f>
            <x14:dxf>
              <fill>
                <patternFill>
                  <bgColor rgb="FFFF0000"/>
                </patternFill>
              </fill>
            </x14:dxf>
          </x14:cfRule>
          <xm:sqref>X19</xm:sqref>
        </x14:conditionalFormatting>
        <x14:conditionalFormatting xmlns:xm="http://schemas.microsoft.com/office/excel/2006/main">
          <x14:cfRule type="expression" priority="667" id="{0328997E-4C54-488D-A2C3-649D945F7CDB}">
            <xm:f>AND(X19="",VLOOKUP(X20,Calendars!$O$1:$U$398,MATCH($X$1,Calendars!$O$1:$U$1,0),FALSE)="")</xm:f>
            <x14:dxf>
              <fill>
                <patternFill>
                  <bgColor rgb="FFFF0000"/>
                </patternFill>
              </fill>
            </x14:dxf>
          </x14:cfRule>
          <xm:sqref>X19</xm:sqref>
        </x14:conditionalFormatting>
        <x14:conditionalFormatting xmlns:xm="http://schemas.microsoft.com/office/excel/2006/main">
          <x14:cfRule type="expression" priority="657" id="{C18A56B3-91BA-4EB2-9E21-7923AC267F80}">
            <xm:f>VLOOKUP(Y20,Calendars!$O$1:$U$398,MATCH($P$1,Calendars!$O$1:$U$1,0),FALSE)="Holiday"</xm:f>
            <x14:dxf>
              <fill>
                <patternFill>
                  <bgColor rgb="FFFF99FF"/>
                </patternFill>
              </fill>
            </x14:dxf>
          </x14:cfRule>
          <x14:cfRule type="expression" priority="658" id="{5DC9F8E3-0D89-4C6F-9392-5AE2A82FDD9A}">
            <xm:f>VLOOKUP(Y20,Calendars!$O$1:$U$398,MATCH($P$1,Calendars!$O$1:$U$1,0),FALSE)="Non Contract"</xm:f>
            <x14:dxf>
              <fill>
                <patternFill patternType="lightDown"/>
              </fill>
            </x14:dxf>
          </x14:cfRule>
          <xm:sqref>Y19:AB19</xm:sqref>
        </x14:conditionalFormatting>
        <x14:conditionalFormatting xmlns:xm="http://schemas.microsoft.com/office/excel/2006/main">
          <x14:cfRule type="expression" priority="660" id="{449FB239-194C-4372-9904-4DE58F7BD638}">
            <xm:f>VLOOKUP(Y20,Calendars!$O$1:$U$398,MATCH($P$1,Calendars!$O$1:$U$1,0),FALSE)=""</xm:f>
            <x14:dxf>
              <fill>
                <patternFill>
                  <bgColor rgb="FFFF0000"/>
                </patternFill>
              </fill>
            </x14:dxf>
          </x14:cfRule>
          <xm:sqref>Y19:AB19</xm:sqref>
        </x14:conditionalFormatting>
        <x14:conditionalFormatting xmlns:xm="http://schemas.microsoft.com/office/excel/2006/main">
          <x14:cfRule type="expression" priority="653" id="{D5D3714F-C462-4102-B755-2706FAB37B78}">
            <xm:f>AND(Y19="",VLOOKUP(Y20,Calendars!$O$1:$U$398,MATCH($X$1,Calendars!$O$1:$U$1,0),FALSE)="")</xm:f>
            <x14:dxf>
              <fill>
                <patternFill>
                  <bgColor rgb="FFFF0000"/>
                </patternFill>
              </fill>
            </x14:dxf>
          </x14:cfRule>
          <xm:sqref>Y19:AB19</xm:sqref>
        </x14:conditionalFormatting>
        <x14:conditionalFormatting xmlns:xm="http://schemas.microsoft.com/office/excel/2006/main">
          <x14:cfRule type="expression" priority="643" id="{15A0A41D-C478-4795-BF0A-5E41BCEC518A}">
            <xm:f>VLOOKUP(X22,Calendars!$O$1:$U$398,MATCH($P$1,Calendars!$O$1:$U$1,0),FALSE)="Holiday"</xm:f>
            <x14:dxf>
              <fill>
                <patternFill>
                  <bgColor rgb="FFFF99FF"/>
                </patternFill>
              </fill>
            </x14:dxf>
          </x14:cfRule>
          <x14:cfRule type="expression" priority="644" id="{41115348-D650-4A0A-B2B2-0500D6F2AB76}">
            <xm:f>VLOOKUP(X22,Calendars!$O$1:$U$398,MATCH($P$1,Calendars!$O$1:$U$1,0),FALSE)="Non Contract"</xm:f>
            <x14:dxf>
              <fill>
                <patternFill patternType="lightDown"/>
              </fill>
            </x14:dxf>
          </x14:cfRule>
          <xm:sqref>X21</xm:sqref>
        </x14:conditionalFormatting>
        <x14:conditionalFormatting xmlns:xm="http://schemas.microsoft.com/office/excel/2006/main">
          <x14:cfRule type="expression" priority="646" id="{57243425-B847-44DC-AE34-0510571A3E5F}">
            <xm:f>VLOOKUP(X22,Calendars!$O$1:$U$398,MATCH($P$1,Calendars!$O$1:$U$1,0),FALSE)=""</xm:f>
            <x14:dxf>
              <fill>
                <patternFill>
                  <bgColor rgb="FFFF0000"/>
                </patternFill>
              </fill>
            </x14:dxf>
          </x14:cfRule>
          <xm:sqref>X21</xm:sqref>
        </x14:conditionalFormatting>
        <x14:conditionalFormatting xmlns:xm="http://schemas.microsoft.com/office/excel/2006/main">
          <x14:cfRule type="expression" priority="639" id="{75A0B7AC-4F92-4A9B-9155-72E8F19659C3}">
            <xm:f>AND(X21="",VLOOKUP(X22,Calendars!$O$1:$U$398,MATCH($X$1,Calendars!$O$1:$U$1,0),FALSE)="")</xm:f>
            <x14:dxf>
              <fill>
                <patternFill>
                  <bgColor rgb="FFFF0000"/>
                </patternFill>
              </fill>
            </x14:dxf>
          </x14:cfRule>
          <xm:sqref>X21</xm:sqref>
        </x14:conditionalFormatting>
        <x14:conditionalFormatting xmlns:xm="http://schemas.microsoft.com/office/excel/2006/main">
          <x14:cfRule type="expression" priority="629" id="{C8BDDBF1-15AE-4E4E-9A8E-8E5AB5E9C5DF}">
            <xm:f>VLOOKUP(Y22,Calendars!$O$1:$U$398,MATCH($P$1,Calendars!$O$1:$U$1,0),FALSE)="Holiday"</xm:f>
            <x14:dxf>
              <fill>
                <patternFill>
                  <bgColor rgb="FFFF99FF"/>
                </patternFill>
              </fill>
            </x14:dxf>
          </x14:cfRule>
          <x14:cfRule type="expression" priority="630" id="{70DCD0FD-53B6-44AB-8AF7-BFD7AF10B5CB}">
            <xm:f>VLOOKUP(Y22,Calendars!$O$1:$U$398,MATCH($P$1,Calendars!$O$1:$U$1,0),FALSE)="Non Contract"</xm:f>
            <x14:dxf>
              <fill>
                <patternFill patternType="lightDown"/>
              </fill>
            </x14:dxf>
          </x14:cfRule>
          <xm:sqref>Y21:AB21</xm:sqref>
        </x14:conditionalFormatting>
        <x14:conditionalFormatting xmlns:xm="http://schemas.microsoft.com/office/excel/2006/main">
          <x14:cfRule type="expression" priority="632" id="{3FE4E26C-F651-49D7-B27B-DDC92888A42B}">
            <xm:f>VLOOKUP(Y22,Calendars!$O$1:$U$398,MATCH($P$1,Calendars!$O$1:$U$1,0),FALSE)=""</xm:f>
            <x14:dxf>
              <fill>
                <patternFill>
                  <bgColor rgb="FFFF0000"/>
                </patternFill>
              </fill>
            </x14:dxf>
          </x14:cfRule>
          <xm:sqref>Y21:AB21</xm:sqref>
        </x14:conditionalFormatting>
        <x14:conditionalFormatting xmlns:xm="http://schemas.microsoft.com/office/excel/2006/main">
          <x14:cfRule type="expression" priority="625" id="{BD31F2E1-1C09-4742-B39B-2FB278906D4C}">
            <xm:f>AND(Y21="",VLOOKUP(Y22,Calendars!$O$1:$U$398,MATCH($X$1,Calendars!$O$1:$U$1,0),FALSE)="")</xm:f>
            <x14:dxf>
              <fill>
                <patternFill>
                  <bgColor rgb="FFFF0000"/>
                </patternFill>
              </fill>
            </x14:dxf>
          </x14:cfRule>
          <xm:sqref>Y21:AB21</xm:sqref>
        </x14:conditionalFormatting>
        <x14:conditionalFormatting xmlns:xm="http://schemas.microsoft.com/office/excel/2006/main">
          <x14:cfRule type="expression" priority="615" id="{50B848B3-67F8-4F75-A913-473CA408B0F9}">
            <xm:f>VLOOKUP(X24,Calendars!$O$1:$U$398,MATCH($P$1,Calendars!$O$1:$U$1,0),FALSE)="Holiday"</xm:f>
            <x14:dxf>
              <fill>
                <patternFill>
                  <bgColor rgb="FFFF99FF"/>
                </patternFill>
              </fill>
            </x14:dxf>
          </x14:cfRule>
          <x14:cfRule type="expression" priority="616" id="{68BC187C-3C37-4F8C-B00A-65A674490910}">
            <xm:f>VLOOKUP(X24,Calendars!$O$1:$U$398,MATCH($P$1,Calendars!$O$1:$U$1,0),FALSE)="Non Contract"</xm:f>
            <x14:dxf>
              <fill>
                <patternFill patternType="lightDown"/>
              </fill>
            </x14:dxf>
          </x14:cfRule>
          <xm:sqref>X23</xm:sqref>
        </x14:conditionalFormatting>
        <x14:conditionalFormatting xmlns:xm="http://schemas.microsoft.com/office/excel/2006/main">
          <x14:cfRule type="expression" priority="618" id="{152EC949-D231-422A-BED1-29B1D6AA1884}">
            <xm:f>VLOOKUP(X24,Calendars!$O$1:$U$398,MATCH($P$1,Calendars!$O$1:$U$1,0),FALSE)=""</xm:f>
            <x14:dxf>
              <fill>
                <patternFill>
                  <bgColor rgb="FFFF0000"/>
                </patternFill>
              </fill>
            </x14:dxf>
          </x14:cfRule>
          <xm:sqref>X23</xm:sqref>
        </x14:conditionalFormatting>
        <x14:conditionalFormatting xmlns:xm="http://schemas.microsoft.com/office/excel/2006/main">
          <x14:cfRule type="expression" priority="611" id="{B0DD324B-CA49-4881-BCD8-6220AFA90E31}">
            <xm:f>AND(X23="",VLOOKUP(X24,Calendars!$O$1:$U$398,MATCH($X$1,Calendars!$O$1:$U$1,0),FALSE)="")</xm:f>
            <x14:dxf>
              <fill>
                <patternFill>
                  <bgColor rgb="FFFF0000"/>
                </patternFill>
              </fill>
            </x14:dxf>
          </x14:cfRule>
          <xm:sqref>X23</xm:sqref>
        </x14:conditionalFormatting>
        <x14:conditionalFormatting xmlns:xm="http://schemas.microsoft.com/office/excel/2006/main">
          <x14:cfRule type="expression" priority="601" id="{C521E84B-C6C8-4F78-9B59-CBCF3B1E45F2}">
            <xm:f>VLOOKUP(Y24,Calendars!$O$1:$U$398,MATCH($P$1,Calendars!$O$1:$U$1,0),FALSE)="Holiday"</xm:f>
            <x14:dxf>
              <fill>
                <patternFill>
                  <bgColor rgb="FFFF99FF"/>
                </patternFill>
              </fill>
            </x14:dxf>
          </x14:cfRule>
          <x14:cfRule type="expression" priority="602" id="{0E96C013-17B6-4D7B-B475-2067FA8293A9}">
            <xm:f>VLOOKUP(Y24,Calendars!$O$1:$U$398,MATCH($P$1,Calendars!$O$1:$U$1,0),FALSE)="Non Contract"</xm:f>
            <x14:dxf>
              <fill>
                <patternFill patternType="lightDown"/>
              </fill>
            </x14:dxf>
          </x14:cfRule>
          <xm:sqref>Y23:AB23</xm:sqref>
        </x14:conditionalFormatting>
        <x14:conditionalFormatting xmlns:xm="http://schemas.microsoft.com/office/excel/2006/main">
          <x14:cfRule type="expression" priority="604" id="{4283E062-4F8F-487E-B2D5-B41CB2639C33}">
            <xm:f>VLOOKUP(Y24,Calendars!$O$1:$U$398,MATCH($P$1,Calendars!$O$1:$U$1,0),FALSE)=""</xm:f>
            <x14:dxf>
              <fill>
                <patternFill>
                  <bgColor rgb="FFFF0000"/>
                </patternFill>
              </fill>
            </x14:dxf>
          </x14:cfRule>
          <xm:sqref>Y23:AB23</xm:sqref>
        </x14:conditionalFormatting>
        <x14:conditionalFormatting xmlns:xm="http://schemas.microsoft.com/office/excel/2006/main">
          <x14:cfRule type="expression" priority="597" id="{C44CA694-5AC1-4264-8AE8-C373A0252E20}">
            <xm:f>AND(Y23="",VLOOKUP(Y24,Calendars!$O$1:$U$398,MATCH($X$1,Calendars!$O$1:$U$1,0),FALSE)="")</xm:f>
            <x14:dxf>
              <fill>
                <patternFill>
                  <bgColor rgb="FFFF0000"/>
                </patternFill>
              </fill>
            </x14:dxf>
          </x14:cfRule>
          <xm:sqref>Y23:AB23</xm:sqref>
        </x14:conditionalFormatting>
        <x14:conditionalFormatting xmlns:xm="http://schemas.microsoft.com/office/excel/2006/main">
          <x14:cfRule type="expression" priority="587" id="{6EC37DEE-E004-4100-B622-97ADDB657FA5}">
            <xm:f>VLOOKUP(X26,Calendars!$O$1:$U$398,MATCH($P$1,Calendars!$O$1:$U$1,0),FALSE)="Holiday"</xm:f>
            <x14:dxf>
              <fill>
                <patternFill>
                  <bgColor rgb="FFFF99FF"/>
                </patternFill>
              </fill>
            </x14:dxf>
          </x14:cfRule>
          <x14:cfRule type="expression" priority="588" id="{A3186880-6CCE-4574-B3CD-1C1D5DF35A48}">
            <xm:f>VLOOKUP(X26,Calendars!$O$1:$U$398,MATCH($P$1,Calendars!$O$1:$U$1,0),FALSE)="Non Contract"</xm:f>
            <x14:dxf>
              <fill>
                <patternFill patternType="lightDown"/>
              </fill>
            </x14:dxf>
          </x14:cfRule>
          <xm:sqref>X25</xm:sqref>
        </x14:conditionalFormatting>
        <x14:conditionalFormatting xmlns:xm="http://schemas.microsoft.com/office/excel/2006/main">
          <x14:cfRule type="expression" priority="590" id="{C9A589C3-2C13-479B-8EDB-F7C2CF1EBB11}">
            <xm:f>VLOOKUP(X26,Calendars!$O$1:$U$398,MATCH($P$1,Calendars!$O$1:$U$1,0),FALSE)=""</xm:f>
            <x14:dxf>
              <fill>
                <patternFill>
                  <bgColor rgb="FFFF0000"/>
                </patternFill>
              </fill>
            </x14:dxf>
          </x14:cfRule>
          <xm:sqref>X25</xm:sqref>
        </x14:conditionalFormatting>
        <x14:conditionalFormatting xmlns:xm="http://schemas.microsoft.com/office/excel/2006/main">
          <x14:cfRule type="expression" priority="583" id="{E3EC1BE5-E434-460B-9A79-8D2634D015AF}">
            <xm:f>AND(X25="",VLOOKUP(X26,Calendars!$O$1:$U$398,MATCH($X$1,Calendars!$O$1:$U$1,0),FALSE)="")</xm:f>
            <x14:dxf>
              <fill>
                <patternFill>
                  <bgColor rgb="FFFF0000"/>
                </patternFill>
              </fill>
            </x14:dxf>
          </x14:cfRule>
          <xm:sqref>X25</xm:sqref>
        </x14:conditionalFormatting>
        <x14:conditionalFormatting xmlns:xm="http://schemas.microsoft.com/office/excel/2006/main">
          <x14:cfRule type="expression" priority="573" id="{53BD2B0B-A8C0-40F6-AEED-BB49330CD8A8}">
            <xm:f>VLOOKUP(Y26,Calendars!$O$1:$U$398,MATCH($P$1,Calendars!$O$1:$U$1,0),FALSE)="Holiday"</xm:f>
            <x14:dxf>
              <fill>
                <patternFill>
                  <bgColor rgb="FFFF99FF"/>
                </patternFill>
              </fill>
            </x14:dxf>
          </x14:cfRule>
          <x14:cfRule type="expression" priority="574" id="{015D940E-05D0-4952-BC15-06C51F136634}">
            <xm:f>VLOOKUP(Y26,Calendars!$O$1:$U$398,MATCH($P$1,Calendars!$O$1:$U$1,0),FALSE)="Non Contract"</xm:f>
            <x14:dxf>
              <fill>
                <patternFill patternType="lightDown"/>
              </fill>
            </x14:dxf>
          </x14:cfRule>
          <xm:sqref>Y25:AB25</xm:sqref>
        </x14:conditionalFormatting>
        <x14:conditionalFormatting xmlns:xm="http://schemas.microsoft.com/office/excel/2006/main">
          <x14:cfRule type="expression" priority="576" id="{7CD17FC9-1848-40E0-AC61-F05DB6697A37}">
            <xm:f>VLOOKUP(Y26,Calendars!$O$1:$U$398,MATCH($P$1,Calendars!$O$1:$U$1,0),FALSE)=""</xm:f>
            <x14:dxf>
              <fill>
                <patternFill>
                  <bgColor rgb="FFFF0000"/>
                </patternFill>
              </fill>
            </x14:dxf>
          </x14:cfRule>
          <xm:sqref>Y25:AB25</xm:sqref>
        </x14:conditionalFormatting>
        <x14:conditionalFormatting xmlns:xm="http://schemas.microsoft.com/office/excel/2006/main">
          <x14:cfRule type="expression" priority="569" id="{210EF558-9615-4EE4-AD58-2FD89FFB0892}">
            <xm:f>AND(Y25="",VLOOKUP(Y26,Calendars!$O$1:$U$398,MATCH($X$1,Calendars!$O$1:$U$1,0),FALSE)="")</xm:f>
            <x14:dxf>
              <fill>
                <patternFill>
                  <bgColor rgb="FFFF0000"/>
                </patternFill>
              </fill>
            </x14:dxf>
          </x14:cfRule>
          <xm:sqref>Y25:AB25</xm:sqref>
        </x14:conditionalFormatting>
        <x14:conditionalFormatting xmlns:xm="http://schemas.microsoft.com/office/excel/2006/main">
          <x14:cfRule type="expression" priority="559" id="{81161EC0-2442-4AAF-A5D5-F88633019A63}">
            <xm:f>VLOOKUP(C29,Calendars!$O$1:$U$398,MATCH($P$1,Calendars!$O$1:$U$1,0),FALSE)="Holiday"</xm:f>
            <x14:dxf>
              <fill>
                <patternFill>
                  <bgColor rgb="FFFF99FF"/>
                </patternFill>
              </fill>
            </x14:dxf>
          </x14:cfRule>
          <x14:cfRule type="expression" priority="560" id="{62B773AE-C8C4-4C17-8A0C-34F2F0F321AF}">
            <xm:f>VLOOKUP(C29,Calendars!$O$1:$U$398,MATCH($P$1,Calendars!$O$1:$U$1,0),FALSE)="Non Contract"</xm:f>
            <x14:dxf>
              <fill>
                <patternFill patternType="lightDown"/>
              </fill>
            </x14:dxf>
          </x14:cfRule>
          <xm:sqref>C28</xm:sqref>
        </x14:conditionalFormatting>
        <x14:conditionalFormatting xmlns:xm="http://schemas.microsoft.com/office/excel/2006/main">
          <x14:cfRule type="expression" priority="562" id="{C12838EA-AB8A-4F3F-8A4E-0F4436D9ABB7}">
            <xm:f>VLOOKUP(C29,Calendars!$O$1:$U$398,MATCH($P$1,Calendars!$O$1:$U$1,0),FALSE)=""</xm:f>
            <x14:dxf>
              <fill>
                <patternFill>
                  <bgColor rgb="FFFF0000"/>
                </patternFill>
              </fill>
            </x14:dxf>
          </x14:cfRule>
          <xm:sqref>C28</xm:sqref>
        </x14:conditionalFormatting>
        <x14:conditionalFormatting xmlns:xm="http://schemas.microsoft.com/office/excel/2006/main">
          <x14:cfRule type="expression" priority="555" id="{E673DF83-C101-4A15-8E2D-E4C9C5B2B956}">
            <xm:f>AND(C28="",VLOOKUP(C29,Calendars!$O$1:$U$398,MATCH($X$1,Calendars!$O$1:$U$1,0),FALSE)="")</xm:f>
            <x14:dxf>
              <fill>
                <patternFill>
                  <bgColor rgb="FFFF0000"/>
                </patternFill>
              </fill>
            </x14:dxf>
          </x14:cfRule>
          <xm:sqref>C28</xm:sqref>
        </x14:conditionalFormatting>
        <x14:conditionalFormatting xmlns:xm="http://schemas.microsoft.com/office/excel/2006/main">
          <x14:cfRule type="expression" priority="545" id="{BAA7C942-E3EC-40A3-BB10-055392E7C3D4}">
            <xm:f>VLOOKUP(D29,Calendars!$O$1:$U$398,MATCH($P$1,Calendars!$O$1:$U$1,0),FALSE)="Holiday"</xm:f>
            <x14:dxf>
              <fill>
                <patternFill>
                  <bgColor rgb="FFFF99FF"/>
                </patternFill>
              </fill>
            </x14:dxf>
          </x14:cfRule>
          <x14:cfRule type="expression" priority="546" id="{A169EE41-9BDB-4EEF-A3B9-FD16EAE813F7}">
            <xm:f>VLOOKUP(D29,Calendars!$O$1:$U$398,MATCH($P$1,Calendars!$O$1:$U$1,0),FALSE)="Non Contract"</xm:f>
            <x14:dxf>
              <fill>
                <patternFill patternType="lightDown"/>
              </fill>
            </x14:dxf>
          </x14:cfRule>
          <xm:sqref>D28:G28</xm:sqref>
        </x14:conditionalFormatting>
        <x14:conditionalFormatting xmlns:xm="http://schemas.microsoft.com/office/excel/2006/main">
          <x14:cfRule type="expression" priority="548" id="{C7808136-2AB1-4369-9CDB-7F17704E806A}">
            <xm:f>VLOOKUP(D29,Calendars!$O$1:$U$398,MATCH($P$1,Calendars!$O$1:$U$1,0),FALSE)=""</xm:f>
            <x14:dxf>
              <fill>
                <patternFill>
                  <bgColor rgb="FFFF0000"/>
                </patternFill>
              </fill>
            </x14:dxf>
          </x14:cfRule>
          <xm:sqref>D28:G28</xm:sqref>
        </x14:conditionalFormatting>
        <x14:conditionalFormatting xmlns:xm="http://schemas.microsoft.com/office/excel/2006/main">
          <x14:cfRule type="expression" priority="541" id="{E6C98E4A-AED3-4ED3-BD3F-BD5298ECF405}">
            <xm:f>AND(D28="",VLOOKUP(D29,Calendars!$O$1:$U$398,MATCH($X$1,Calendars!$O$1:$U$1,0),FALSE)="")</xm:f>
            <x14:dxf>
              <fill>
                <patternFill>
                  <bgColor rgb="FFFF0000"/>
                </patternFill>
              </fill>
            </x14:dxf>
          </x14:cfRule>
          <xm:sqref>D28:G28</xm:sqref>
        </x14:conditionalFormatting>
        <x14:conditionalFormatting xmlns:xm="http://schemas.microsoft.com/office/excel/2006/main">
          <x14:cfRule type="expression" priority="531" id="{83E5EBD6-9453-4CA4-B707-45F88238C0E3}">
            <xm:f>VLOOKUP(C31,Calendars!$O$1:$U$398,MATCH($P$1,Calendars!$O$1:$U$1,0),FALSE)="Holiday"</xm:f>
            <x14:dxf>
              <fill>
                <patternFill>
                  <bgColor rgb="FFFF99FF"/>
                </patternFill>
              </fill>
            </x14:dxf>
          </x14:cfRule>
          <x14:cfRule type="expression" priority="532" id="{E587E962-D6FF-4566-991F-8C8E3EBAABDD}">
            <xm:f>VLOOKUP(C31,Calendars!$O$1:$U$398,MATCH($P$1,Calendars!$O$1:$U$1,0),FALSE)="Non Contract"</xm:f>
            <x14:dxf>
              <fill>
                <patternFill patternType="lightDown"/>
              </fill>
            </x14:dxf>
          </x14:cfRule>
          <xm:sqref>C30</xm:sqref>
        </x14:conditionalFormatting>
        <x14:conditionalFormatting xmlns:xm="http://schemas.microsoft.com/office/excel/2006/main">
          <x14:cfRule type="expression" priority="534" id="{89EF2B55-DD1B-438B-939B-01EE40026184}">
            <xm:f>VLOOKUP(C31,Calendars!$O$1:$U$398,MATCH($P$1,Calendars!$O$1:$U$1,0),FALSE)=""</xm:f>
            <x14:dxf>
              <fill>
                <patternFill>
                  <bgColor rgb="FFFF0000"/>
                </patternFill>
              </fill>
            </x14:dxf>
          </x14:cfRule>
          <xm:sqref>C30</xm:sqref>
        </x14:conditionalFormatting>
        <x14:conditionalFormatting xmlns:xm="http://schemas.microsoft.com/office/excel/2006/main">
          <x14:cfRule type="expression" priority="527" id="{8147EF3D-13B1-409B-B2BB-7A83AC6D8532}">
            <xm:f>AND(C30="",VLOOKUP(C31,Calendars!$O$1:$U$398,MATCH($X$1,Calendars!$O$1:$U$1,0),FALSE)="")</xm:f>
            <x14:dxf>
              <fill>
                <patternFill>
                  <bgColor rgb="FFFF0000"/>
                </patternFill>
              </fill>
            </x14:dxf>
          </x14:cfRule>
          <xm:sqref>C30</xm:sqref>
        </x14:conditionalFormatting>
        <x14:conditionalFormatting xmlns:xm="http://schemas.microsoft.com/office/excel/2006/main">
          <x14:cfRule type="expression" priority="517" id="{9A12A2CC-2EBB-465B-A788-F50F95A4C340}">
            <xm:f>VLOOKUP(D31,Calendars!$O$1:$U$398,MATCH($P$1,Calendars!$O$1:$U$1,0),FALSE)="Holiday"</xm:f>
            <x14:dxf>
              <fill>
                <patternFill>
                  <bgColor rgb="FFFF99FF"/>
                </patternFill>
              </fill>
            </x14:dxf>
          </x14:cfRule>
          <x14:cfRule type="expression" priority="518" id="{74B5324A-811F-4928-B3D1-0C7191EBEA72}">
            <xm:f>VLOOKUP(D31,Calendars!$O$1:$U$398,MATCH($P$1,Calendars!$O$1:$U$1,0),FALSE)="Non Contract"</xm:f>
            <x14:dxf>
              <fill>
                <patternFill patternType="lightDown"/>
              </fill>
            </x14:dxf>
          </x14:cfRule>
          <xm:sqref>D30:G30</xm:sqref>
        </x14:conditionalFormatting>
        <x14:conditionalFormatting xmlns:xm="http://schemas.microsoft.com/office/excel/2006/main">
          <x14:cfRule type="expression" priority="520" id="{219981A5-4E4B-479A-9337-863993608572}">
            <xm:f>VLOOKUP(D31,Calendars!$O$1:$U$398,MATCH($P$1,Calendars!$O$1:$U$1,0),FALSE)=""</xm:f>
            <x14:dxf>
              <fill>
                <patternFill>
                  <bgColor rgb="FFFF0000"/>
                </patternFill>
              </fill>
            </x14:dxf>
          </x14:cfRule>
          <xm:sqref>D30:G30</xm:sqref>
        </x14:conditionalFormatting>
        <x14:conditionalFormatting xmlns:xm="http://schemas.microsoft.com/office/excel/2006/main">
          <x14:cfRule type="expression" priority="513" id="{321D703D-9D38-4D3A-A905-8EF3BAF674BB}">
            <xm:f>AND(D30="",VLOOKUP(D31,Calendars!$O$1:$U$398,MATCH($X$1,Calendars!$O$1:$U$1,0),FALSE)="")</xm:f>
            <x14:dxf>
              <fill>
                <patternFill>
                  <bgColor rgb="FFFF0000"/>
                </patternFill>
              </fill>
            </x14:dxf>
          </x14:cfRule>
          <xm:sqref>D30:G30</xm:sqref>
        </x14:conditionalFormatting>
        <x14:conditionalFormatting xmlns:xm="http://schemas.microsoft.com/office/excel/2006/main">
          <x14:cfRule type="expression" priority="503" id="{59ECA933-070D-466E-9622-D1C5827CDF1D}">
            <xm:f>VLOOKUP(C33,Calendars!$O$1:$U$398,MATCH($P$1,Calendars!$O$1:$U$1,0),FALSE)="Holiday"</xm:f>
            <x14:dxf>
              <fill>
                <patternFill>
                  <bgColor rgb="FFFF99FF"/>
                </patternFill>
              </fill>
            </x14:dxf>
          </x14:cfRule>
          <x14:cfRule type="expression" priority="504" id="{A4CF6939-1147-4039-832D-C9E764FAD808}">
            <xm:f>VLOOKUP(C33,Calendars!$O$1:$U$398,MATCH($P$1,Calendars!$O$1:$U$1,0),FALSE)="Non Contract"</xm:f>
            <x14:dxf>
              <fill>
                <patternFill patternType="lightDown"/>
              </fill>
            </x14:dxf>
          </x14:cfRule>
          <xm:sqref>C32</xm:sqref>
        </x14:conditionalFormatting>
        <x14:conditionalFormatting xmlns:xm="http://schemas.microsoft.com/office/excel/2006/main">
          <x14:cfRule type="expression" priority="506" id="{1B62487D-6998-4D66-B0D7-86F8A462FF9C}">
            <xm:f>VLOOKUP(C33,Calendars!$O$1:$U$398,MATCH($P$1,Calendars!$O$1:$U$1,0),FALSE)=""</xm:f>
            <x14:dxf>
              <fill>
                <patternFill>
                  <bgColor rgb="FFFF0000"/>
                </patternFill>
              </fill>
            </x14:dxf>
          </x14:cfRule>
          <xm:sqref>C32</xm:sqref>
        </x14:conditionalFormatting>
        <x14:conditionalFormatting xmlns:xm="http://schemas.microsoft.com/office/excel/2006/main">
          <x14:cfRule type="expression" priority="499" id="{BEC3E313-33DA-4F9B-9F61-5F82A705FD87}">
            <xm:f>AND(C32="",VLOOKUP(C33,Calendars!$O$1:$U$398,MATCH($X$1,Calendars!$O$1:$U$1,0),FALSE)="")</xm:f>
            <x14:dxf>
              <fill>
                <patternFill>
                  <bgColor rgb="FFFF0000"/>
                </patternFill>
              </fill>
            </x14:dxf>
          </x14:cfRule>
          <xm:sqref>C32</xm:sqref>
        </x14:conditionalFormatting>
        <x14:conditionalFormatting xmlns:xm="http://schemas.microsoft.com/office/excel/2006/main">
          <x14:cfRule type="expression" priority="489" id="{39AE2804-BC98-4F5D-8852-7BB5A06AF46D}">
            <xm:f>VLOOKUP(D33,Calendars!$O$1:$U$398,MATCH($P$1,Calendars!$O$1:$U$1,0),FALSE)="Holiday"</xm:f>
            <x14:dxf>
              <fill>
                <patternFill>
                  <bgColor rgb="FFFF99FF"/>
                </patternFill>
              </fill>
            </x14:dxf>
          </x14:cfRule>
          <x14:cfRule type="expression" priority="490" id="{E6B4333E-13C7-45CC-94DF-115D99B47C92}">
            <xm:f>VLOOKUP(D33,Calendars!$O$1:$U$398,MATCH($P$1,Calendars!$O$1:$U$1,0),FALSE)="Non Contract"</xm:f>
            <x14:dxf>
              <fill>
                <patternFill patternType="lightDown"/>
              </fill>
            </x14:dxf>
          </x14:cfRule>
          <xm:sqref>D32:G32</xm:sqref>
        </x14:conditionalFormatting>
        <x14:conditionalFormatting xmlns:xm="http://schemas.microsoft.com/office/excel/2006/main">
          <x14:cfRule type="expression" priority="492" id="{AF6FA6D3-0E59-4236-8DA2-EE3BDAAB05A6}">
            <xm:f>VLOOKUP(D33,Calendars!$O$1:$U$398,MATCH($P$1,Calendars!$O$1:$U$1,0),FALSE)=""</xm:f>
            <x14:dxf>
              <fill>
                <patternFill>
                  <bgColor rgb="FFFF0000"/>
                </patternFill>
              </fill>
            </x14:dxf>
          </x14:cfRule>
          <xm:sqref>D32:G32</xm:sqref>
        </x14:conditionalFormatting>
        <x14:conditionalFormatting xmlns:xm="http://schemas.microsoft.com/office/excel/2006/main">
          <x14:cfRule type="expression" priority="485" id="{23D3D360-31EA-42C0-BDD0-B9AD3FD0E287}">
            <xm:f>AND(D32="",VLOOKUP(D33,Calendars!$O$1:$U$398,MATCH($X$1,Calendars!$O$1:$U$1,0),FALSE)="")</xm:f>
            <x14:dxf>
              <fill>
                <patternFill>
                  <bgColor rgb="FFFF0000"/>
                </patternFill>
              </fill>
            </x14:dxf>
          </x14:cfRule>
          <xm:sqref>D32:G32</xm:sqref>
        </x14:conditionalFormatting>
        <x14:conditionalFormatting xmlns:xm="http://schemas.microsoft.com/office/excel/2006/main">
          <x14:cfRule type="expression" priority="475" id="{E6583C29-7756-461A-8957-5604A2DB5D2A}">
            <xm:f>VLOOKUP(C35,Calendars!$O$1:$U$398,MATCH($P$1,Calendars!$O$1:$U$1,0),FALSE)="Holiday"</xm:f>
            <x14:dxf>
              <fill>
                <patternFill>
                  <bgColor rgb="FFFF99FF"/>
                </patternFill>
              </fill>
            </x14:dxf>
          </x14:cfRule>
          <x14:cfRule type="expression" priority="476" id="{DA0C5027-FB83-428E-9CE9-B80CA101D494}">
            <xm:f>VLOOKUP(C35,Calendars!$O$1:$U$398,MATCH($P$1,Calendars!$O$1:$U$1,0),FALSE)="Non Contract"</xm:f>
            <x14:dxf>
              <fill>
                <patternFill patternType="lightDown"/>
              </fill>
            </x14:dxf>
          </x14:cfRule>
          <xm:sqref>C34</xm:sqref>
        </x14:conditionalFormatting>
        <x14:conditionalFormatting xmlns:xm="http://schemas.microsoft.com/office/excel/2006/main">
          <x14:cfRule type="expression" priority="478" id="{35D810A7-8ECA-4EC4-8B6E-F077E22E8B04}">
            <xm:f>VLOOKUP(C35,Calendars!$O$1:$U$398,MATCH($P$1,Calendars!$O$1:$U$1,0),FALSE)=""</xm:f>
            <x14:dxf>
              <fill>
                <patternFill>
                  <bgColor rgb="FFFF0000"/>
                </patternFill>
              </fill>
            </x14:dxf>
          </x14:cfRule>
          <xm:sqref>C34</xm:sqref>
        </x14:conditionalFormatting>
        <x14:conditionalFormatting xmlns:xm="http://schemas.microsoft.com/office/excel/2006/main">
          <x14:cfRule type="expression" priority="471" id="{A2FB3547-C308-43E0-8F38-EC89CC71933D}">
            <xm:f>AND(C34="",VLOOKUP(C35,Calendars!$O$1:$U$398,MATCH($X$1,Calendars!$O$1:$U$1,0),FALSE)="")</xm:f>
            <x14:dxf>
              <fill>
                <patternFill>
                  <bgColor rgb="FFFF0000"/>
                </patternFill>
              </fill>
            </x14:dxf>
          </x14:cfRule>
          <xm:sqref>C34</xm:sqref>
        </x14:conditionalFormatting>
        <x14:conditionalFormatting xmlns:xm="http://schemas.microsoft.com/office/excel/2006/main">
          <x14:cfRule type="expression" priority="461" id="{978EE1C9-401A-46E9-B673-CE675862581E}">
            <xm:f>VLOOKUP(D35,Calendars!$O$1:$U$398,MATCH($P$1,Calendars!$O$1:$U$1,0),FALSE)="Holiday"</xm:f>
            <x14:dxf>
              <fill>
                <patternFill>
                  <bgColor rgb="FFFF99FF"/>
                </patternFill>
              </fill>
            </x14:dxf>
          </x14:cfRule>
          <x14:cfRule type="expression" priority="462" id="{E1585CF8-6A9A-49E5-B7BD-F3B7513C2245}">
            <xm:f>VLOOKUP(D35,Calendars!$O$1:$U$398,MATCH($P$1,Calendars!$O$1:$U$1,0),FALSE)="Non Contract"</xm:f>
            <x14:dxf>
              <fill>
                <patternFill patternType="lightDown"/>
              </fill>
            </x14:dxf>
          </x14:cfRule>
          <xm:sqref>D34:G34</xm:sqref>
        </x14:conditionalFormatting>
        <x14:conditionalFormatting xmlns:xm="http://schemas.microsoft.com/office/excel/2006/main">
          <x14:cfRule type="expression" priority="464" id="{019FBBBE-FBF5-49F9-9CE7-1E2C73FBBDB7}">
            <xm:f>VLOOKUP(D35,Calendars!$O$1:$U$398,MATCH($P$1,Calendars!$O$1:$U$1,0),FALSE)=""</xm:f>
            <x14:dxf>
              <fill>
                <patternFill>
                  <bgColor rgb="FFFF0000"/>
                </patternFill>
              </fill>
            </x14:dxf>
          </x14:cfRule>
          <xm:sqref>D34:G34</xm:sqref>
        </x14:conditionalFormatting>
        <x14:conditionalFormatting xmlns:xm="http://schemas.microsoft.com/office/excel/2006/main">
          <x14:cfRule type="expression" priority="457" id="{7850BD48-1C06-4B41-B274-1EB8F051868E}">
            <xm:f>AND(D34="",VLOOKUP(D35,Calendars!$O$1:$U$398,MATCH($X$1,Calendars!$O$1:$U$1,0),FALSE)="")</xm:f>
            <x14:dxf>
              <fill>
                <patternFill>
                  <bgColor rgb="FFFF0000"/>
                </patternFill>
              </fill>
            </x14:dxf>
          </x14:cfRule>
          <xm:sqref>D34:G34</xm:sqref>
        </x14:conditionalFormatting>
        <x14:conditionalFormatting xmlns:xm="http://schemas.microsoft.com/office/excel/2006/main">
          <x14:cfRule type="expression" priority="447" id="{2E587A1F-915C-43B0-ACA2-7A153CFA69CB}">
            <xm:f>VLOOKUP(C37,Calendars!$O$1:$U$398,MATCH($P$1,Calendars!$O$1:$U$1,0),FALSE)="Holiday"</xm:f>
            <x14:dxf>
              <fill>
                <patternFill>
                  <bgColor rgb="FFFF99FF"/>
                </patternFill>
              </fill>
            </x14:dxf>
          </x14:cfRule>
          <x14:cfRule type="expression" priority="448" id="{6D6B99F9-D240-4B24-B921-7109EC705634}">
            <xm:f>VLOOKUP(C37,Calendars!$O$1:$U$398,MATCH($P$1,Calendars!$O$1:$U$1,0),FALSE)="Non Contract"</xm:f>
            <x14:dxf>
              <fill>
                <patternFill patternType="lightDown"/>
              </fill>
            </x14:dxf>
          </x14:cfRule>
          <xm:sqref>C36</xm:sqref>
        </x14:conditionalFormatting>
        <x14:conditionalFormatting xmlns:xm="http://schemas.microsoft.com/office/excel/2006/main">
          <x14:cfRule type="expression" priority="450" id="{D68BE13A-EE87-49ED-979E-C600F069FD5B}">
            <xm:f>VLOOKUP(C37,Calendars!$O$1:$U$398,MATCH($P$1,Calendars!$O$1:$U$1,0),FALSE)=""</xm:f>
            <x14:dxf>
              <fill>
                <patternFill>
                  <bgColor rgb="FFFF0000"/>
                </patternFill>
              </fill>
            </x14:dxf>
          </x14:cfRule>
          <xm:sqref>C36</xm:sqref>
        </x14:conditionalFormatting>
        <x14:conditionalFormatting xmlns:xm="http://schemas.microsoft.com/office/excel/2006/main">
          <x14:cfRule type="expression" priority="443" id="{56C95D90-44C5-45F0-BAC1-5222A3BF4438}">
            <xm:f>AND(C36="",VLOOKUP(C37,Calendars!$O$1:$U$398,MATCH($X$1,Calendars!$O$1:$U$1,0),FALSE)="")</xm:f>
            <x14:dxf>
              <fill>
                <patternFill>
                  <bgColor rgb="FFFF0000"/>
                </patternFill>
              </fill>
            </x14:dxf>
          </x14:cfRule>
          <xm:sqref>C36</xm:sqref>
        </x14:conditionalFormatting>
        <x14:conditionalFormatting xmlns:xm="http://schemas.microsoft.com/office/excel/2006/main">
          <x14:cfRule type="expression" priority="433" id="{86F253EF-2B73-45AA-AC08-F938A55658E4}">
            <xm:f>VLOOKUP(D37,Calendars!$O$1:$U$398,MATCH($P$1,Calendars!$O$1:$U$1,0),FALSE)="Holiday"</xm:f>
            <x14:dxf>
              <fill>
                <patternFill>
                  <bgColor rgb="FFFF99FF"/>
                </patternFill>
              </fill>
            </x14:dxf>
          </x14:cfRule>
          <x14:cfRule type="expression" priority="434" id="{7FA28D47-4B50-4F23-BD27-F95143CFECD5}">
            <xm:f>VLOOKUP(D37,Calendars!$O$1:$U$398,MATCH($P$1,Calendars!$O$1:$U$1,0),FALSE)="Non Contract"</xm:f>
            <x14:dxf>
              <fill>
                <patternFill patternType="lightDown"/>
              </fill>
            </x14:dxf>
          </x14:cfRule>
          <xm:sqref>D36:G36</xm:sqref>
        </x14:conditionalFormatting>
        <x14:conditionalFormatting xmlns:xm="http://schemas.microsoft.com/office/excel/2006/main">
          <x14:cfRule type="expression" priority="436" id="{2EAF744F-10C3-42A4-8495-D900B424EBA4}">
            <xm:f>VLOOKUP(D37,Calendars!$O$1:$U$398,MATCH($P$1,Calendars!$O$1:$U$1,0),FALSE)=""</xm:f>
            <x14:dxf>
              <fill>
                <patternFill>
                  <bgColor rgb="FFFF0000"/>
                </patternFill>
              </fill>
            </x14:dxf>
          </x14:cfRule>
          <xm:sqref>D36:G36</xm:sqref>
        </x14:conditionalFormatting>
        <x14:conditionalFormatting xmlns:xm="http://schemas.microsoft.com/office/excel/2006/main">
          <x14:cfRule type="expression" priority="429" id="{8B3FEF34-401D-4C8A-B7E6-51FB69D100DD}">
            <xm:f>AND(D36="",VLOOKUP(D37,Calendars!$O$1:$U$398,MATCH($X$1,Calendars!$O$1:$U$1,0),FALSE)="")</xm:f>
            <x14:dxf>
              <fill>
                <patternFill>
                  <bgColor rgb="FFFF0000"/>
                </patternFill>
              </fill>
            </x14:dxf>
          </x14:cfRule>
          <xm:sqref>D36:G36</xm:sqref>
        </x14:conditionalFormatting>
        <x14:conditionalFormatting xmlns:xm="http://schemas.microsoft.com/office/excel/2006/main">
          <x14:cfRule type="expression" priority="419" id="{5951AFBA-5139-41BE-B117-CE5F2E265ED7}">
            <xm:f>VLOOKUP(J29,Calendars!$O$1:$U$398,MATCH($P$1,Calendars!$O$1:$U$1,0),FALSE)="Holiday"</xm:f>
            <x14:dxf>
              <fill>
                <patternFill>
                  <bgColor rgb="FFFF99FF"/>
                </patternFill>
              </fill>
            </x14:dxf>
          </x14:cfRule>
          <x14:cfRule type="expression" priority="420" id="{05894DFE-BDB9-4C0C-A551-40FAEE1B2938}">
            <xm:f>VLOOKUP(J29,Calendars!$O$1:$U$398,MATCH($P$1,Calendars!$O$1:$U$1,0),FALSE)="Non Contract"</xm:f>
            <x14:dxf>
              <fill>
                <patternFill patternType="lightDown"/>
              </fill>
            </x14:dxf>
          </x14:cfRule>
          <xm:sqref>J28</xm:sqref>
        </x14:conditionalFormatting>
        <x14:conditionalFormatting xmlns:xm="http://schemas.microsoft.com/office/excel/2006/main">
          <x14:cfRule type="expression" priority="422" id="{3D9B5B72-FFF2-47BC-AC0C-164F4E075C32}">
            <xm:f>VLOOKUP(J29,Calendars!$O$1:$U$398,MATCH($P$1,Calendars!$O$1:$U$1,0),FALSE)=""</xm:f>
            <x14:dxf>
              <fill>
                <patternFill>
                  <bgColor rgb="FFFF0000"/>
                </patternFill>
              </fill>
            </x14:dxf>
          </x14:cfRule>
          <xm:sqref>J28</xm:sqref>
        </x14:conditionalFormatting>
        <x14:conditionalFormatting xmlns:xm="http://schemas.microsoft.com/office/excel/2006/main">
          <x14:cfRule type="expression" priority="415" id="{9CCB51DC-4849-48AB-A234-EB6DE410930E}">
            <xm:f>AND(J28="",VLOOKUP(J29,Calendars!$O$1:$U$398,MATCH($X$1,Calendars!$O$1:$U$1,0),FALSE)="")</xm:f>
            <x14:dxf>
              <fill>
                <patternFill>
                  <bgColor rgb="FFFF0000"/>
                </patternFill>
              </fill>
            </x14:dxf>
          </x14:cfRule>
          <xm:sqref>J28</xm:sqref>
        </x14:conditionalFormatting>
        <x14:conditionalFormatting xmlns:xm="http://schemas.microsoft.com/office/excel/2006/main">
          <x14:cfRule type="expression" priority="405" id="{8116BFD6-5B20-44F5-8900-7DF795766489}">
            <xm:f>VLOOKUP(K29,Calendars!$O$1:$U$398,MATCH($P$1,Calendars!$O$1:$U$1,0),FALSE)="Holiday"</xm:f>
            <x14:dxf>
              <fill>
                <patternFill>
                  <bgColor rgb="FFFF99FF"/>
                </patternFill>
              </fill>
            </x14:dxf>
          </x14:cfRule>
          <x14:cfRule type="expression" priority="406" id="{E2775C9A-9B28-439E-BC4D-63495C01038B}">
            <xm:f>VLOOKUP(K29,Calendars!$O$1:$U$398,MATCH($P$1,Calendars!$O$1:$U$1,0),FALSE)="Non Contract"</xm:f>
            <x14:dxf>
              <fill>
                <patternFill patternType="lightDown"/>
              </fill>
            </x14:dxf>
          </x14:cfRule>
          <xm:sqref>K28:N28</xm:sqref>
        </x14:conditionalFormatting>
        <x14:conditionalFormatting xmlns:xm="http://schemas.microsoft.com/office/excel/2006/main">
          <x14:cfRule type="expression" priority="408" id="{2C59D742-7CD1-46E7-89FC-3841772EAB94}">
            <xm:f>VLOOKUP(K29,Calendars!$O$1:$U$398,MATCH($P$1,Calendars!$O$1:$U$1,0),FALSE)=""</xm:f>
            <x14:dxf>
              <fill>
                <patternFill>
                  <bgColor rgb="FFFF0000"/>
                </patternFill>
              </fill>
            </x14:dxf>
          </x14:cfRule>
          <xm:sqref>K28:N28</xm:sqref>
        </x14:conditionalFormatting>
        <x14:conditionalFormatting xmlns:xm="http://schemas.microsoft.com/office/excel/2006/main">
          <x14:cfRule type="expression" priority="401" id="{4E705392-1714-44E4-B369-D4A9D6C74A45}">
            <xm:f>AND(K28="",VLOOKUP(K29,Calendars!$O$1:$U$398,MATCH($X$1,Calendars!$O$1:$U$1,0),FALSE)="")</xm:f>
            <x14:dxf>
              <fill>
                <patternFill>
                  <bgColor rgb="FFFF0000"/>
                </patternFill>
              </fill>
            </x14:dxf>
          </x14:cfRule>
          <xm:sqref>K28:N28</xm:sqref>
        </x14:conditionalFormatting>
        <x14:conditionalFormatting xmlns:xm="http://schemas.microsoft.com/office/excel/2006/main">
          <x14:cfRule type="expression" priority="391" id="{D64315BA-8B45-4E78-8FA7-635921B812AD}">
            <xm:f>VLOOKUP(J31,Calendars!$O$1:$U$398,MATCH($P$1,Calendars!$O$1:$U$1,0),FALSE)="Holiday"</xm:f>
            <x14:dxf>
              <fill>
                <patternFill>
                  <bgColor rgb="FFFF99FF"/>
                </patternFill>
              </fill>
            </x14:dxf>
          </x14:cfRule>
          <x14:cfRule type="expression" priority="392" id="{D03D8769-DC06-46C0-8E2B-E79052BD506D}">
            <xm:f>VLOOKUP(J31,Calendars!$O$1:$U$398,MATCH($P$1,Calendars!$O$1:$U$1,0),FALSE)="Non Contract"</xm:f>
            <x14:dxf>
              <fill>
                <patternFill patternType="lightDown"/>
              </fill>
            </x14:dxf>
          </x14:cfRule>
          <xm:sqref>J30</xm:sqref>
        </x14:conditionalFormatting>
        <x14:conditionalFormatting xmlns:xm="http://schemas.microsoft.com/office/excel/2006/main">
          <x14:cfRule type="expression" priority="394" id="{4995C19B-ECE4-415F-8DFC-A4F35FD267A0}">
            <xm:f>VLOOKUP(J31,Calendars!$O$1:$U$398,MATCH($P$1,Calendars!$O$1:$U$1,0),FALSE)=""</xm:f>
            <x14:dxf>
              <fill>
                <patternFill>
                  <bgColor rgb="FFFF0000"/>
                </patternFill>
              </fill>
            </x14:dxf>
          </x14:cfRule>
          <xm:sqref>J30</xm:sqref>
        </x14:conditionalFormatting>
        <x14:conditionalFormatting xmlns:xm="http://schemas.microsoft.com/office/excel/2006/main">
          <x14:cfRule type="expression" priority="387" id="{B5FA84F1-EC79-43FA-B039-90F271AE0FFD}">
            <xm:f>AND(J30="",VLOOKUP(J31,Calendars!$O$1:$U$398,MATCH($X$1,Calendars!$O$1:$U$1,0),FALSE)="")</xm:f>
            <x14:dxf>
              <fill>
                <patternFill>
                  <bgColor rgb="FFFF0000"/>
                </patternFill>
              </fill>
            </x14:dxf>
          </x14:cfRule>
          <xm:sqref>J30</xm:sqref>
        </x14:conditionalFormatting>
        <x14:conditionalFormatting xmlns:xm="http://schemas.microsoft.com/office/excel/2006/main">
          <x14:cfRule type="expression" priority="377" id="{E43F5E50-B513-4300-8819-5AE7EEADFC81}">
            <xm:f>VLOOKUP(K31,Calendars!$O$1:$U$398,MATCH($P$1,Calendars!$O$1:$U$1,0),FALSE)="Holiday"</xm:f>
            <x14:dxf>
              <fill>
                <patternFill>
                  <bgColor rgb="FFFF99FF"/>
                </patternFill>
              </fill>
            </x14:dxf>
          </x14:cfRule>
          <x14:cfRule type="expression" priority="378" id="{7DF40BC9-42A3-4771-A97A-4F288B53E8F0}">
            <xm:f>VLOOKUP(K31,Calendars!$O$1:$U$398,MATCH($P$1,Calendars!$O$1:$U$1,0),FALSE)="Non Contract"</xm:f>
            <x14:dxf>
              <fill>
                <patternFill patternType="lightDown"/>
              </fill>
            </x14:dxf>
          </x14:cfRule>
          <xm:sqref>K30:N30</xm:sqref>
        </x14:conditionalFormatting>
        <x14:conditionalFormatting xmlns:xm="http://schemas.microsoft.com/office/excel/2006/main">
          <x14:cfRule type="expression" priority="380" id="{B2710342-1555-4E46-8A68-D0379030835C}">
            <xm:f>VLOOKUP(K31,Calendars!$O$1:$U$398,MATCH($P$1,Calendars!$O$1:$U$1,0),FALSE)=""</xm:f>
            <x14:dxf>
              <fill>
                <patternFill>
                  <bgColor rgb="FFFF0000"/>
                </patternFill>
              </fill>
            </x14:dxf>
          </x14:cfRule>
          <xm:sqref>K30:N30</xm:sqref>
        </x14:conditionalFormatting>
        <x14:conditionalFormatting xmlns:xm="http://schemas.microsoft.com/office/excel/2006/main">
          <x14:cfRule type="expression" priority="373" id="{DF45733D-1B28-441D-A58D-832089BE2EDC}">
            <xm:f>AND(K30="",VLOOKUP(K31,Calendars!$O$1:$U$398,MATCH($X$1,Calendars!$O$1:$U$1,0),FALSE)="")</xm:f>
            <x14:dxf>
              <fill>
                <patternFill>
                  <bgColor rgb="FFFF0000"/>
                </patternFill>
              </fill>
            </x14:dxf>
          </x14:cfRule>
          <xm:sqref>K30:N30</xm:sqref>
        </x14:conditionalFormatting>
        <x14:conditionalFormatting xmlns:xm="http://schemas.microsoft.com/office/excel/2006/main">
          <x14:cfRule type="expression" priority="363" id="{51884FB3-4387-49AF-AC8C-3BAEA8121776}">
            <xm:f>VLOOKUP(J33,Calendars!$O$1:$U$398,MATCH($P$1,Calendars!$O$1:$U$1,0),FALSE)="Holiday"</xm:f>
            <x14:dxf>
              <fill>
                <patternFill>
                  <bgColor rgb="FFFF99FF"/>
                </patternFill>
              </fill>
            </x14:dxf>
          </x14:cfRule>
          <x14:cfRule type="expression" priority="364" id="{5D33EAFF-5387-4C95-9C34-866CFE3537DB}">
            <xm:f>VLOOKUP(J33,Calendars!$O$1:$U$398,MATCH($P$1,Calendars!$O$1:$U$1,0),FALSE)="Non Contract"</xm:f>
            <x14:dxf>
              <fill>
                <patternFill patternType="lightDown"/>
              </fill>
            </x14:dxf>
          </x14:cfRule>
          <xm:sqref>J32</xm:sqref>
        </x14:conditionalFormatting>
        <x14:conditionalFormatting xmlns:xm="http://schemas.microsoft.com/office/excel/2006/main">
          <x14:cfRule type="expression" priority="366" id="{A93CFB43-DB10-41F0-8339-EB755A07E58E}">
            <xm:f>VLOOKUP(J33,Calendars!$O$1:$U$398,MATCH($P$1,Calendars!$O$1:$U$1,0),FALSE)=""</xm:f>
            <x14:dxf>
              <fill>
                <patternFill>
                  <bgColor rgb="FFFF0000"/>
                </patternFill>
              </fill>
            </x14:dxf>
          </x14:cfRule>
          <xm:sqref>J32</xm:sqref>
        </x14:conditionalFormatting>
        <x14:conditionalFormatting xmlns:xm="http://schemas.microsoft.com/office/excel/2006/main">
          <x14:cfRule type="expression" priority="359" id="{E4811CD6-4F50-415D-A7D4-519E164FEA75}">
            <xm:f>AND(J32="",VLOOKUP(J33,Calendars!$O$1:$U$398,MATCH($X$1,Calendars!$O$1:$U$1,0),FALSE)="")</xm:f>
            <x14:dxf>
              <fill>
                <patternFill>
                  <bgColor rgb="FFFF0000"/>
                </patternFill>
              </fill>
            </x14:dxf>
          </x14:cfRule>
          <xm:sqref>J32</xm:sqref>
        </x14:conditionalFormatting>
        <x14:conditionalFormatting xmlns:xm="http://schemas.microsoft.com/office/excel/2006/main">
          <x14:cfRule type="expression" priority="349" id="{8076083D-8F29-4A7B-B918-8A99A5822787}">
            <xm:f>VLOOKUP(K33,Calendars!$O$1:$U$398,MATCH($P$1,Calendars!$O$1:$U$1,0),FALSE)="Holiday"</xm:f>
            <x14:dxf>
              <fill>
                <patternFill>
                  <bgColor rgb="FFFF99FF"/>
                </patternFill>
              </fill>
            </x14:dxf>
          </x14:cfRule>
          <x14:cfRule type="expression" priority="350" id="{91B59A3E-5001-4C2F-94B4-0A08F442D635}">
            <xm:f>VLOOKUP(K33,Calendars!$O$1:$U$398,MATCH($P$1,Calendars!$O$1:$U$1,0),FALSE)="Non Contract"</xm:f>
            <x14:dxf>
              <fill>
                <patternFill patternType="lightDown"/>
              </fill>
            </x14:dxf>
          </x14:cfRule>
          <xm:sqref>K32:N32</xm:sqref>
        </x14:conditionalFormatting>
        <x14:conditionalFormatting xmlns:xm="http://schemas.microsoft.com/office/excel/2006/main">
          <x14:cfRule type="expression" priority="352" id="{278465C1-AEBD-486A-85B6-8FA06CE90627}">
            <xm:f>VLOOKUP(K33,Calendars!$O$1:$U$398,MATCH($P$1,Calendars!$O$1:$U$1,0),FALSE)=""</xm:f>
            <x14:dxf>
              <fill>
                <patternFill>
                  <bgColor rgb="FFFF0000"/>
                </patternFill>
              </fill>
            </x14:dxf>
          </x14:cfRule>
          <xm:sqref>K32:N32</xm:sqref>
        </x14:conditionalFormatting>
        <x14:conditionalFormatting xmlns:xm="http://schemas.microsoft.com/office/excel/2006/main">
          <x14:cfRule type="expression" priority="345" id="{FDC38632-BF52-45EB-B892-CD45CDB1DCEA}">
            <xm:f>AND(K32="",VLOOKUP(K33,Calendars!$O$1:$U$398,MATCH($X$1,Calendars!$O$1:$U$1,0),FALSE)="")</xm:f>
            <x14:dxf>
              <fill>
                <patternFill>
                  <bgColor rgb="FFFF0000"/>
                </patternFill>
              </fill>
            </x14:dxf>
          </x14:cfRule>
          <xm:sqref>K32:N32</xm:sqref>
        </x14:conditionalFormatting>
        <x14:conditionalFormatting xmlns:xm="http://schemas.microsoft.com/office/excel/2006/main">
          <x14:cfRule type="expression" priority="335" id="{E123B384-E342-40C3-A729-3A3A1A270700}">
            <xm:f>VLOOKUP(J35,Calendars!$O$1:$U$398,MATCH($P$1,Calendars!$O$1:$U$1,0),FALSE)="Holiday"</xm:f>
            <x14:dxf>
              <fill>
                <patternFill>
                  <bgColor rgb="FFFF99FF"/>
                </patternFill>
              </fill>
            </x14:dxf>
          </x14:cfRule>
          <x14:cfRule type="expression" priority="336" id="{F0D5D63E-BCBD-4B1E-8EAA-BEB4D604700F}">
            <xm:f>VLOOKUP(J35,Calendars!$O$1:$U$398,MATCH($P$1,Calendars!$O$1:$U$1,0),FALSE)="Non Contract"</xm:f>
            <x14:dxf>
              <fill>
                <patternFill patternType="lightDown"/>
              </fill>
            </x14:dxf>
          </x14:cfRule>
          <xm:sqref>J34</xm:sqref>
        </x14:conditionalFormatting>
        <x14:conditionalFormatting xmlns:xm="http://schemas.microsoft.com/office/excel/2006/main">
          <x14:cfRule type="expression" priority="338" id="{3940AFC8-C173-41E8-940E-3B874BF421B5}">
            <xm:f>VLOOKUP(J35,Calendars!$O$1:$U$398,MATCH($P$1,Calendars!$O$1:$U$1,0),FALSE)=""</xm:f>
            <x14:dxf>
              <fill>
                <patternFill>
                  <bgColor rgb="FFFF0000"/>
                </patternFill>
              </fill>
            </x14:dxf>
          </x14:cfRule>
          <xm:sqref>J34</xm:sqref>
        </x14:conditionalFormatting>
        <x14:conditionalFormatting xmlns:xm="http://schemas.microsoft.com/office/excel/2006/main">
          <x14:cfRule type="expression" priority="331" id="{43433F18-FCC1-4781-87ED-0D888C731C93}">
            <xm:f>AND(J34="",VLOOKUP(J35,Calendars!$O$1:$U$398,MATCH($X$1,Calendars!$O$1:$U$1,0),FALSE)="")</xm:f>
            <x14:dxf>
              <fill>
                <patternFill>
                  <bgColor rgb="FFFF0000"/>
                </patternFill>
              </fill>
            </x14:dxf>
          </x14:cfRule>
          <xm:sqref>J34</xm:sqref>
        </x14:conditionalFormatting>
        <x14:conditionalFormatting xmlns:xm="http://schemas.microsoft.com/office/excel/2006/main">
          <x14:cfRule type="expression" priority="321" id="{C26412C0-A378-4ACC-A7D3-CFA0CBB418C2}">
            <xm:f>VLOOKUP(K35,Calendars!$O$1:$U$398,MATCH($P$1,Calendars!$O$1:$U$1,0),FALSE)="Holiday"</xm:f>
            <x14:dxf>
              <fill>
                <patternFill>
                  <bgColor rgb="FFFF99FF"/>
                </patternFill>
              </fill>
            </x14:dxf>
          </x14:cfRule>
          <x14:cfRule type="expression" priority="322" id="{C5A82185-12A3-4444-A867-21C3441A3334}">
            <xm:f>VLOOKUP(K35,Calendars!$O$1:$U$398,MATCH($P$1,Calendars!$O$1:$U$1,0),FALSE)="Non Contract"</xm:f>
            <x14:dxf>
              <fill>
                <patternFill patternType="lightDown"/>
              </fill>
            </x14:dxf>
          </x14:cfRule>
          <xm:sqref>K34:N34</xm:sqref>
        </x14:conditionalFormatting>
        <x14:conditionalFormatting xmlns:xm="http://schemas.microsoft.com/office/excel/2006/main">
          <x14:cfRule type="expression" priority="324" id="{548BEB63-D215-47AC-87D5-A652B9901870}">
            <xm:f>VLOOKUP(K35,Calendars!$O$1:$U$398,MATCH($P$1,Calendars!$O$1:$U$1,0),FALSE)=""</xm:f>
            <x14:dxf>
              <fill>
                <patternFill>
                  <bgColor rgb="FFFF0000"/>
                </patternFill>
              </fill>
            </x14:dxf>
          </x14:cfRule>
          <xm:sqref>K34:N34</xm:sqref>
        </x14:conditionalFormatting>
        <x14:conditionalFormatting xmlns:xm="http://schemas.microsoft.com/office/excel/2006/main">
          <x14:cfRule type="expression" priority="317" id="{93CBB859-D9AB-4C52-B668-468A9CE0D868}">
            <xm:f>AND(K34="",VLOOKUP(K35,Calendars!$O$1:$U$398,MATCH($X$1,Calendars!$O$1:$U$1,0),FALSE)="")</xm:f>
            <x14:dxf>
              <fill>
                <patternFill>
                  <bgColor rgb="FFFF0000"/>
                </patternFill>
              </fill>
            </x14:dxf>
          </x14:cfRule>
          <xm:sqref>K34:N34</xm:sqref>
        </x14:conditionalFormatting>
        <x14:conditionalFormatting xmlns:xm="http://schemas.microsoft.com/office/excel/2006/main">
          <x14:cfRule type="expression" priority="307" id="{7D67D4C7-16F7-49C0-B19E-682C2BECCEF1}">
            <xm:f>VLOOKUP(J37,Calendars!$O$1:$U$398,MATCH($P$1,Calendars!$O$1:$U$1,0),FALSE)="Holiday"</xm:f>
            <x14:dxf>
              <fill>
                <patternFill>
                  <bgColor rgb="FFFF99FF"/>
                </patternFill>
              </fill>
            </x14:dxf>
          </x14:cfRule>
          <x14:cfRule type="expression" priority="308" id="{8A020C0C-9EC2-44A1-BE77-52CFA6C196DC}">
            <xm:f>VLOOKUP(J37,Calendars!$O$1:$U$398,MATCH($P$1,Calendars!$O$1:$U$1,0),FALSE)="Non Contract"</xm:f>
            <x14:dxf>
              <fill>
                <patternFill patternType="lightDown"/>
              </fill>
            </x14:dxf>
          </x14:cfRule>
          <xm:sqref>J36</xm:sqref>
        </x14:conditionalFormatting>
        <x14:conditionalFormatting xmlns:xm="http://schemas.microsoft.com/office/excel/2006/main">
          <x14:cfRule type="expression" priority="310" id="{644D64F9-C726-403F-BEED-801B5FCC7408}">
            <xm:f>VLOOKUP(J37,Calendars!$O$1:$U$398,MATCH($P$1,Calendars!$O$1:$U$1,0),FALSE)=""</xm:f>
            <x14:dxf>
              <fill>
                <patternFill>
                  <bgColor rgb="FFFF0000"/>
                </patternFill>
              </fill>
            </x14:dxf>
          </x14:cfRule>
          <xm:sqref>J36</xm:sqref>
        </x14:conditionalFormatting>
        <x14:conditionalFormatting xmlns:xm="http://schemas.microsoft.com/office/excel/2006/main">
          <x14:cfRule type="expression" priority="303" id="{5E65C179-7344-4AD1-B8BF-9DF3A8835CFA}">
            <xm:f>AND(J36="",VLOOKUP(J37,Calendars!$O$1:$U$398,MATCH($X$1,Calendars!$O$1:$U$1,0),FALSE)="")</xm:f>
            <x14:dxf>
              <fill>
                <patternFill>
                  <bgColor rgb="FFFF0000"/>
                </patternFill>
              </fill>
            </x14:dxf>
          </x14:cfRule>
          <xm:sqref>J36</xm:sqref>
        </x14:conditionalFormatting>
        <x14:conditionalFormatting xmlns:xm="http://schemas.microsoft.com/office/excel/2006/main">
          <x14:cfRule type="expression" priority="293" id="{4961179E-6B6F-4665-98AB-43B5D3B7A64A}">
            <xm:f>VLOOKUP(K37,Calendars!$O$1:$U$398,MATCH($P$1,Calendars!$O$1:$U$1,0),FALSE)="Holiday"</xm:f>
            <x14:dxf>
              <fill>
                <patternFill>
                  <bgColor rgb="FFFF99FF"/>
                </patternFill>
              </fill>
            </x14:dxf>
          </x14:cfRule>
          <x14:cfRule type="expression" priority="294" id="{98F9032E-59A5-46AB-B751-E6F796C0D162}">
            <xm:f>VLOOKUP(K37,Calendars!$O$1:$U$398,MATCH($P$1,Calendars!$O$1:$U$1,0),FALSE)="Non Contract"</xm:f>
            <x14:dxf>
              <fill>
                <patternFill patternType="lightDown"/>
              </fill>
            </x14:dxf>
          </x14:cfRule>
          <xm:sqref>K36:N36</xm:sqref>
        </x14:conditionalFormatting>
        <x14:conditionalFormatting xmlns:xm="http://schemas.microsoft.com/office/excel/2006/main">
          <x14:cfRule type="expression" priority="296" id="{F1C04A2C-FA3C-4913-A244-4B5EFAA1E6FF}">
            <xm:f>VLOOKUP(K37,Calendars!$O$1:$U$398,MATCH($P$1,Calendars!$O$1:$U$1,0),FALSE)=""</xm:f>
            <x14:dxf>
              <fill>
                <patternFill>
                  <bgColor rgb="FFFF0000"/>
                </patternFill>
              </fill>
            </x14:dxf>
          </x14:cfRule>
          <xm:sqref>K36:N36</xm:sqref>
        </x14:conditionalFormatting>
        <x14:conditionalFormatting xmlns:xm="http://schemas.microsoft.com/office/excel/2006/main">
          <x14:cfRule type="expression" priority="289" id="{70AE5B9C-9576-452D-AFE9-F2EF7E8D5CF8}">
            <xm:f>AND(K36="",VLOOKUP(K37,Calendars!$O$1:$U$398,MATCH($X$1,Calendars!$O$1:$U$1,0),FALSE)="")</xm:f>
            <x14:dxf>
              <fill>
                <patternFill>
                  <bgColor rgb="FFFF0000"/>
                </patternFill>
              </fill>
            </x14:dxf>
          </x14:cfRule>
          <xm:sqref>K36:N36</xm:sqref>
        </x14:conditionalFormatting>
        <x14:conditionalFormatting xmlns:xm="http://schemas.microsoft.com/office/excel/2006/main">
          <x14:cfRule type="expression" priority="279" id="{A711FA98-D3CE-44C3-89DD-FB25AB3E5C4B}">
            <xm:f>VLOOKUP(Q29,Calendars!$O$1:$U$398,MATCH($P$1,Calendars!$O$1:$U$1,0),FALSE)="Holiday"</xm:f>
            <x14:dxf>
              <fill>
                <patternFill>
                  <bgColor rgb="FFFF99FF"/>
                </patternFill>
              </fill>
            </x14:dxf>
          </x14:cfRule>
          <x14:cfRule type="expression" priority="280" id="{F6CFCD7D-EB2F-4ACC-BF3F-BA0D5B942257}">
            <xm:f>VLOOKUP(Q29,Calendars!$O$1:$U$398,MATCH($P$1,Calendars!$O$1:$U$1,0),FALSE)="Non Contract"</xm:f>
            <x14:dxf>
              <fill>
                <patternFill patternType="lightDown"/>
              </fill>
            </x14:dxf>
          </x14:cfRule>
          <xm:sqref>Q28</xm:sqref>
        </x14:conditionalFormatting>
        <x14:conditionalFormatting xmlns:xm="http://schemas.microsoft.com/office/excel/2006/main">
          <x14:cfRule type="expression" priority="282" id="{7B356E85-8581-4E99-A514-97158F70A9E5}">
            <xm:f>VLOOKUP(Q29,Calendars!$O$1:$U$398,MATCH($P$1,Calendars!$O$1:$U$1,0),FALSE)=""</xm:f>
            <x14:dxf>
              <fill>
                <patternFill>
                  <bgColor rgb="FFFF0000"/>
                </patternFill>
              </fill>
            </x14:dxf>
          </x14:cfRule>
          <xm:sqref>Q28</xm:sqref>
        </x14:conditionalFormatting>
        <x14:conditionalFormatting xmlns:xm="http://schemas.microsoft.com/office/excel/2006/main">
          <x14:cfRule type="expression" priority="275" id="{AFBBEE07-4D54-4537-BF1B-4C1DABC60753}">
            <xm:f>AND(Q28="",VLOOKUP(Q29,Calendars!$O$1:$U$398,MATCH($X$1,Calendars!$O$1:$U$1,0),FALSE)="")</xm:f>
            <x14:dxf>
              <fill>
                <patternFill>
                  <bgColor rgb="FFFF0000"/>
                </patternFill>
              </fill>
            </x14:dxf>
          </x14:cfRule>
          <xm:sqref>Q28</xm:sqref>
        </x14:conditionalFormatting>
        <x14:conditionalFormatting xmlns:xm="http://schemas.microsoft.com/office/excel/2006/main">
          <x14:cfRule type="expression" priority="265" id="{75D078AB-48F5-47EE-B154-4008B0D26F79}">
            <xm:f>VLOOKUP(R29,Calendars!$O$1:$U$398,MATCH($P$1,Calendars!$O$1:$U$1,0),FALSE)="Holiday"</xm:f>
            <x14:dxf>
              <fill>
                <patternFill>
                  <bgColor rgb="FFFF99FF"/>
                </patternFill>
              </fill>
            </x14:dxf>
          </x14:cfRule>
          <x14:cfRule type="expression" priority="266" id="{5860E91B-D01F-4BDC-88FD-03A4DA1338E0}">
            <xm:f>VLOOKUP(R29,Calendars!$O$1:$U$398,MATCH($P$1,Calendars!$O$1:$U$1,0),FALSE)="Non Contract"</xm:f>
            <x14:dxf>
              <fill>
                <patternFill patternType="lightDown"/>
              </fill>
            </x14:dxf>
          </x14:cfRule>
          <xm:sqref>R28:U28</xm:sqref>
        </x14:conditionalFormatting>
        <x14:conditionalFormatting xmlns:xm="http://schemas.microsoft.com/office/excel/2006/main">
          <x14:cfRule type="expression" priority="268" id="{66FBCCA4-7ECA-45ED-8AA5-382EE1A30135}">
            <xm:f>VLOOKUP(R29,Calendars!$O$1:$U$398,MATCH($P$1,Calendars!$O$1:$U$1,0),FALSE)=""</xm:f>
            <x14:dxf>
              <fill>
                <patternFill>
                  <bgColor rgb="FFFF0000"/>
                </patternFill>
              </fill>
            </x14:dxf>
          </x14:cfRule>
          <xm:sqref>R28:U28</xm:sqref>
        </x14:conditionalFormatting>
        <x14:conditionalFormatting xmlns:xm="http://schemas.microsoft.com/office/excel/2006/main">
          <x14:cfRule type="expression" priority="261" id="{A51546CB-F58F-4D47-86B1-37B9014E2672}">
            <xm:f>AND(R28="",VLOOKUP(R29,Calendars!$O$1:$U$398,MATCH($X$1,Calendars!$O$1:$U$1,0),FALSE)="")</xm:f>
            <x14:dxf>
              <fill>
                <patternFill>
                  <bgColor rgb="FFFF0000"/>
                </patternFill>
              </fill>
            </x14:dxf>
          </x14:cfRule>
          <xm:sqref>R28:U28</xm:sqref>
        </x14:conditionalFormatting>
        <x14:conditionalFormatting xmlns:xm="http://schemas.microsoft.com/office/excel/2006/main">
          <x14:cfRule type="expression" priority="251" id="{9419FE7E-9ECF-4679-B934-E3E28607E673}">
            <xm:f>VLOOKUP(Q31,Calendars!$O$1:$U$398,MATCH($P$1,Calendars!$O$1:$U$1,0),FALSE)="Holiday"</xm:f>
            <x14:dxf>
              <fill>
                <patternFill>
                  <bgColor rgb="FFFF99FF"/>
                </patternFill>
              </fill>
            </x14:dxf>
          </x14:cfRule>
          <x14:cfRule type="expression" priority="252" id="{5F84C8A6-A25B-4920-8041-A0D373F562FC}">
            <xm:f>VLOOKUP(Q31,Calendars!$O$1:$U$398,MATCH($P$1,Calendars!$O$1:$U$1,0),FALSE)="Non Contract"</xm:f>
            <x14:dxf>
              <fill>
                <patternFill patternType="lightDown"/>
              </fill>
            </x14:dxf>
          </x14:cfRule>
          <xm:sqref>Q30</xm:sqref>
        </x14:conditionalFormatting>
        <x14:conditionalFormatting xmlns:xm="http://schemas.microsoft.com/office/excel/2006/main">
          <x14:cfRule type="expression" priority="254" id="{FA91FEA1-AD17-46F1-AC9E-E7C7F95B8CD5}">
            <xm:f>VLOOKUP(Q31,Calendars!$O$1:$U$398,MATCH($P$1,Calendars!$O$1:$U$1,0),FALSE)=""</xm:f>
            <x14:dxf>
              <fill>
                <patternFill>
                  <bgColor rgb="FFFF0000"/>
                </patternFill>
              </fill>
            </x14:dxf>
          </x14:cfRule>
          <xm:sqref>Q30</xm:sqref>
        </x14:conditionalFormatting>
        <x14:conditionalFormatting xmlns:xm="http://schemas.microsoft.com/office/excel/2006/main">
          <x14:cfRule type="expression" priority="247" id="{3535488A-BF82-4FD7-8319-E19379602258}">
            <xm:f>AND(Q30="",VLOOKUP(Q31,Calendars!$O$1:$U$398,MATCH($X$1,Calendars!$O$1:$U$1,0),FALSE)="")</xm:f>
            <x14:dxf>
              <fill>
                <patternFill>
                  <bgColor rgb="FFFF0000"/>
                </patternFill>
              </fill>
            </x14:dxf>
          </x14:cfRule>
          <xm:sqref>Q30</xm:sqref>
        </x14:conditionalFormatting>
        <x14:conditionalFormatting xmlns:xm="http://schemas.microsoft.com/office/excel/2006/main">
          <x14:cfRule type="expression" priority="237" id="{BABC79F0-BC13-4E17-82A2-A9F763E3A63E}">
            <xm:f>VLOOKUP(R31,Calendars!$O$1:$U$398,MATCH($P$1,Calendars!$O$1:$U$1,0),FALSE)="Holiday"</xm:f>
            <x14:dxf>
              <fill>
                <patternFill>
                  <bgColor rgb="FFFF99FF"/>
                </patternFill>
              </fill>
            </x14:dxf>
          </x14:cfRule>
          <x14:cfRule type="expression" priority="238" id="{71344109-8B83-4097-A6C3-E6C55ABA8873}">
            <xm:f>VLOOKUP(R31,Calendars!$O$1:$U$398,MATCH($P$1,Calendars!$O$1:$U$1,0),FALSE)="Non Contract"</xm:f>
            <x14:dxf>
              <fill>
                <patternFill patternType="lightDown"/>
              </fill>
            </x14:dxf>
          </x14:cfRule>
          <xm:sqref>R30:U30</xm:sqref>
        </x14:conditionalFormatting>
        <x14:conditionalFormatting xmlns:xm="http://schemas.microsoft.com/office/excel/2006/main">
          <x14:cfRule type="expression" priority="240" id="{A64E4130-B261-42F4-BA95-C8BF558D710B}">
            <xm:f>VLOOKUP(R31,Calendars!$O$1:$U$398,MATCH($P$1,Calendars!$O$1:$U$1,0),FALSE)=""</xm:f>
            <x14:dxf>
              <fill>
                <patternFill>
                  <bgColor rgb="FFFF0000"/>
                </patternFill>
              </fill>
            </x14:dxf>
          </x14:cfRule>
          <xm:sqref>R30:U30</xm:sqref>
        </x14:conditionalFormatting>
        <x14:conditionalFormatting xmlns:xm="http://schemas.microsoft.com/office/excel/2006/main">
          <x14:cfRule type="expression" priority="233" id="{6AD83599-CA60-497D-B586-4A2BFEF4314D}">
            <xm:f>AND(R30="",VLOOKUP(R31,Calendars!$O$1:$U$398,MATCH($X$1,Calendars!$O$1:$U$1,0),FALSE)="")</xm:f>
            <x14:dxf>
              <fill>
                <patternFill>
                  <bgColor rgb="FFFF0000"/>
                </patternFill>
              </fill>
            </x14:dxf>
          </x14:cfRule>
          <xm:sqref>R30:U30</xm:sqref>
        </x14:conditionalFormatting>
        <x14:conditionalFormatting xmlns:xm="http://schemas.microsoft.com/office/excel/2006/main">
          <x14:cfRule type="expression" priority="223" id="{EAF1D025-1068-48C2-8DC0-3E58EF349C62}">
            <xm:f>VLOOKUP(Q33,Calendars!$O$1:$U$398,MATCH($P$1,Calendars!$O$1:$U$1,0),FALSE)="Holiday"</xm:f>
            <x14:dxf>
              <fill>
                <patternFill>
                  <bgColor rgb="FFFF99FF"/>
                </patternFill>
              </fill>
            </x14:dxf>
          </x14:cfRule>
          <x14:cfRule type="expression" priority="224" id="{BCBB18A9-0F15-40BD-A12D-315FB49051C6}">
            <xm:f>VLOOKUP(Q33,Calendars!$O$1:$U$398,MATCH($P$1,Calendars!$O$1:$U$1,0),FALSE)="Non Contract"</xm:f>
            <x14:dxf>
              <fill>
                <patternFill patternType="lightDown"/>
              </fill>
            </x14:dxf>
          </x14:cfRule>
          <xm:sqref>Q32</xm:sqref>
        </x14:conditionalFormatting>
        <x14:conditionalFormatting xmlns:xm="http://schemas.microsoft.com/office/excel/2006/main">
          <x14:cfRule type="expression" priority="226" id="{DEBB58D9-0B92-4783-9BFE-9BAC32097FFE}">
            <xm:f>VLOOKUP(Q33,Calendars!$O$1:$U$398,MATCH($P$1,Calendars!$O$1:$U$1,0),FALSE)=""</xm:f>
            <x14:dxf>
              <fill>
                <patternFill>
                  <bgColor rgb="FFFF0000"/>
                </patternFill>
              </fill>
            </x14:dxf>
          </x14:cfRule>
          <xm:sqref>Q32</xm:sqref>
        </x14:conditionalFormatting>
        <x14:conditionalFormatting xmlns:xm="http://schemas.microsoft.com/office/excel/2006/main">
          <x14:cfRule type="expression" priority="219" id="{0A05FD02-8907-4BE9-8149-3F251E9C043A}">
            <xm:f>AND(Q32="",VLOOKUP(Q33,Calendars!$O$1:$U$398,MATCH($X$1,Calendars!$O$1:$U$1,0),FALSE)="")</xm:f>
            <x14:dxf>
              <fill>
                <patternFill>
                  <bgColor rgb="FFFF0000"/>
                </patternFill>
              </fill>
            </x14:dxf>
          </x14:cfRule>
          <xm:sqref>Q32</xm:sqref>
        </x14:conditionalFormatting>
        <x14:conditionalFormatting xmlns:xm="http://schemas.microsoft.com/office/excel/2006/main">
          <x14:cfRule type="expression" priority="209" id="{619EB8EC-B6A0-49F9-8C84-1606F16F0B84}">
            <xm:f>VLOOKUP(R33,Calendars!$O$1:$U$398,MATCH($P$1,Calendars!$O$1:$U$1,0),FALSE)="Holiday"</xm:f>
            <x14:dxf>
              <fill>
                <patternFill>
                  <bgColor rgb="FFFF99FF"/>
                </patternFill>
              </fill>
            </x14:dxf>
          </x14:cfRule>
          <x14:cfRule type="expression" priority="210" id="{5DAC9AC6-86A1-4D9F-8692-F896B998EE71}">
            <xm:f>VLOOKUP(R33,Calendars!$O$1:$U$398,MATCH($P$1,Calendars!$O$1:$U$1,0),FALSE)="Non Contract"</xm:f>
            <x14:dxf>
              <fill>
                <patternFill patternType="lightDown"/>
              </fill>
            </x14:dxf>
          </x14:cfRule>
          <xm:sqref>R32:U32</xm:sqref>
        </x14:conditionalFormatting>
        <x14:conditionalFormatting xmlns:xm="http://schemas.microsoft.com/office/excel/2006/main">
          <x14:cfRule type="expression" priority="212" id="{CE230F9F-6672-4492-870A-0543CE3BB248}">
            <xm:f>VLOOKUP(R33,Calendars!$O$1:$U$398,MATCH($P$1,Calendars!$O$1:$U$1,0),FALSE)=""</xm:f>
            <x14:dxf>
              <fill>
                <patternFill>
                  <bgColor rgb="FFFF0000"/>
                </patternFill>
              </fill>
            </x14:dxf>
          </x14:cfRule>
          <xm:sqref>R32:U32</xm:sqref>
        </x14:conditionalFormatting>
        <x14:conditionalFormatting xmlns:xm="http://schemas.microsoft.com/office/excel/2006/main">
          <x14:cfRule type="expression" priority="205" id="{765AC99E-227E-4760-AC47-88FED28FAA3C}">
            <xm:f>AND(R32="",VLOOKUP(R33,Calendars!$O$1:$U$398,MATCH($X$1,Calendars!$O$1:$U$1,0),FALSE)="")</xm:f>
            <x14:dxf>
              <fill>
                <patternFill>
                  <bgColor rgb="FFFF0000"/>
                </patternFill>
              </fill>
            </x14:dxf>
          </x14:cfRule>
          <xm:sqref>R32:U32</xm:sqref>
        </x14:conditionalFormatting>
        <x14:conditionalFormatting xmlns:xm="http://schemas.microsoft.com/office/excel/2006/main">
          <x14:cfRule type="expression" priority="195" id="{3E006907-12C8-44EC-B163-B9355BC12293}">
            <xm:f>VLOOKUP(Q35,Calendars!$O$1:$U$398,MATCH($P$1,Calendars!$O$1:$U$1,0),FALSE)="Holiday"</xm:f>
            <x14:dxf>
              <fill>
                <patternFill>
                  <bgColor rgb="FFFF99FF"/>
                </patternFill>
              </fill>
            </x14:dxf>
          </x14:cfRule>
          <x14:cfRule type="expression" priority="196" id="{F5517610-F96B-4A56-AE2F-D3021FC2F5BB}">
            <xm:f>VLOOKUP(Q35,Calendars!$O$1:$U$398,MATCH($P$1,Calendars!$O$1:$U$1,0),FALSE)="Non Contract"</xm:f>
            <x14:dxf>
              <fill>
                <patternFill patternType="lightDown"/>
              </fill>
            </x14:dxf>
          </x14:cfRule>
          <xm:sqref>Q34</xm:sqref>
        </x14:conditionalFormatting>
        <x14:conditionalFormatting xmlns:xm="http://schemas.microsoft.com/office/excel/2006/main">
          <x14:cfRule type="expression" priority="198" id="{34006307-2E51-400F-977C-E23B6D85D083}">
            <xm:f>VLOOKUP(Q35,Calendars!$O$1:$U$398,MATCH($P$1,Calendars!$O$1:$U$1,0),FALSE)=""</xm:f>
            <x14:dxf>
              <fill>
                <patternFill>
                  <bgColor rgb="FFFF0000"/>
                </patternFill>
              </fill>
            </x14:dxf>
          </x14:cfRule>
          <xm:sqref>Q34</xm:sqref>
        </x14:conditionalFormatting>
        <x14:conditionalFormatting xmlns:xm="http://schemas.microsoft.com/office/excel/2006/main">
          <x14:cfRule type="expression" priority="191" id="{81012964-B5DE-4D36-ACB5-3BEE50894B98}">
            <xm:f>AND(Q34="",VLOOKUP(Q35,Calendars!$O$1:$U$398,MATCH($X$1,Calendars!$O$1:$U$1,0),FALSE)="")</xm:f>
            <x14:dxf>
              <fill>
                <patternFill>
                  <bgColor rgb="FFFF0000"/>
                </patternFill>
              </fill>
            </x14:dxf>
          </x14:cfRule>
          <xm:sqref>Q34</xm:sqref>
        </x14:conditionalFormatting>
        <x14:conditionalFormatting xmlns:xm="http://schemas.microsoft.com/office/excel/2006/main">
          <x14:cfRule type="expression" priority="181" id="{75407C2F-70EE-427E-9F71-709F3870F2E8}">
            <xm:f>VLOOKUP(R35,Calendars!$O$1:$U$398,MATCH($P$1,Calendars!$O$1:$U$1,0),FALSE)="Holiday"</xm:f>
            <x14:dxf>
              <fill>
                <patternFill>
                  <bgColor rgb="FFFF99FF"/>
                </patternFill>
              </fill>
            </x14:dxf>
          </x14:cfRule>
          <x14:cfRule type="expression" priority="182" id="{B9169B90-215C-4FB7-BD5A-D929334B2CB5}">
            <xm:f>VLOOKUP(R35,Calendars!$O$1:$U$398,MATCH($P$1,Calendars!$O$1:$U$1,0),FALSE)="Non Contract"</xm:f>
            <x14:dxf>
              <fill>
                <patternFill patternType="lightDown"/>
              </fill>
            </x14:dxf>
          </x14:cfRule>
          <xm:sqref>R34:U34</xm:sqref>
        </x14:conditionalFormatting>
        <x14:conditionalFormatting xmlns:xm="http://schemas.microsoft.com/office/excel/2006/main">
          <x14:cfRule type="expression" priority="184" id="{317A0944-6FC6-49DD-A92E-8C63B0AA20A0}">
            <xm:f>VLOOKUP(R35,Calendars!$O$1:$U$398,MATCH($P$1,Calendars!$O$1:$U$1,0),FALSE)=""</xm:f>
            <x14:dxf>
              <fill>
                <patternFill>
                  <bgColor rgb="FFFF0000"/>
                </patternFill>
              </fill>
            </x14:dxf>
          </x14:cfRule>
          <xm:sqref>R34:U34</xm:sqref>
        </x14:conditionalFormatting>
        <x14:conditionalFormatting xmlns:xm="http://schemas.microsoft.com/office/excel/2006/main">
          <x14:cfRule type="expression" priority="177" id="{B25CD82A-FC21-4CD5-9AC7-1EB9D7D9BDC8}">
            <xm:f>AND(R34="",VLOOKUP(R35,Calendars!$O$1:$U$398,MATCH($X$1,Calendars!$O$1:$U$1,0),FALSE)="")</xm:f>
            <x14:dxf>
              <fill>
                <patternFill>
                  <bgColor rgb="FFFF0000"/>
                </patternFill>
              </fill>
            </x14:dxf>
          </x14:cfRule>
          <xm:sqref>R34:U34</xm:sqref>
        </x14:conditionalFormatting>
        <x14:conditionalFormatting xmlns:xm="http://schemas.microsoft.com/office/excel/2006/main">
          <x14:cfRule type="expression" priority="167" id="{4149F9A7-358C-49BC-8641-C8CD10E5B106}">
            <xm:f>VLOOKUP(Q37,Calendars!$O$1:$U$398,MATCH($P$1,Calendars!$O$1:$U$1,0),FALSE)="Holiday"</xm:f>
            <x14:dxf>
              <fill>
                <patternFill>
                  <bgColor rgb="FFFF99FF"/>
                </patternFill>
              </fill>
            </x14:dxf>
          </x14:cfRule>
          <x14:cfRule type="expression" priority="168" id="{23995E3C-F8AB-4D45-BA01-3A41BC535424}">
            <xm:f>VLOOKUP(Q37,Calendars!$O$1:$U$398,MATCH($P$1,Calendars!$O$1:$U$1,0),FALSE)="Non Contract"</xm:f>
            <x14:dxf>
              <fill>
                <patternFill patternType="lightDown"/>
              </fill>
            </x14:dxf>
          </x14:cfRule>
          <xm:sqref>Q36</xm:sqref>
        </x14:conditionalFormatting>
        <x14:conditionalFormatting xmlns:xm="http://schemas.microsoft.com/office/excel/2006/main">
          <x14:cfRule type="expression" priority="170" id="{0C04260C-1B19-43FB-9C89-2CFE59BEA0C5}">
            <xm:f>VLOOKUP(Q37,Calendars!$O$1:$U$398,MATCH($P$1,Calendars!$O$1:$U$1,0),FALSE)=""</xm:f>
            <x14:dxf>
              <fill>
                <patternFill>
                  <bgColor rgb="FFFF0000"/>
                </patternFill>
              </fill>
            </x14:dxf>
          </x14:cfRule>
          <xm:sqref>Q36</xm:sqref>
        </x14:conditionalFormatting>
        <x14:conditionalFormatting xmlns:xm="http://schemas.microsoft.com/office/excel/2006/main">
          <x14:cfRule type="expression" priority="163" id="{BFD518A4-28D2-45D2-8BB2-8860BCD08632}">
            <xm:f>AND(Q36="",VLOOKUP(Q37,Calendars!$O$1:$U$398,MATCH($X$1,Calendars!$O$1:$U$1,0),FALSE)="")</xm:f>
            <x14:dxf>
              <fill>
                <patternFill>
                  <bgColor rgb="FFFF0000"/>
                </patternFill>
              </fill>
            </x14:dxf>
          </x14:cfRule>
          <xm:sqref>Q36</xm:sqref>
        </x14:conditionalFormatting>
        <x14:conditionalFormatting xmlns:xm="http://schemas.microsoft.com/office/excel/2006/main">
          <x14:cfRule type="expression" priority="153" id="{E7E68478-5034-4F57-9593-098FCF7E6BC1}">
            <xm:f>VLOOKUP(R37,Calendars!$O$1:$U$398,MATCH($P$1,Calendars!$O$1:$U$1,0),FALSE)="Holiday"</xm:f>
            <x14:dxf>
              <fill>
                <patternFill>
                  <bgColor rgb="FFFF99FF"/>
                </patternFill>
              </fill>
            </x14:dxf>
          </x14:cfRule>
          <x14:cfRule type="expression" priority="154" id="{D0589F6C-D9D8-47D4-AC95-39441ECAE6F6}">
            <xm:f>VLOOKUP(R37,Calendars!$O$1:$U$398,MATCH($P$1,Calendars!$O$1:$U$1,0),FALSE)="Non Contract"</xm:f>
            <x14:dxf>
              <fill>
                <patternFill patternType="lightDown"/>
              </fill>
            </x14:dxf>
          </x14:cfRule>
          <xm:sqref>R36:U36</xm:sqref>
        </x14:conditionalFormatting>
        <x14:conditionalFormatting xmlns:xm="http://schemas.microsoft.com/office/excel/2006/main">
          <x14:cfRule type="expression" priority="156" id="{1D95CFDD-BDC7-4524-959C-72A3FC0DF60B}">
            <xm:f>VLOOKUP(R37,Calendars!$O$1:$U$398,MATCH($P$1,Calendars!$O$1:$U$1,0),FALSE)=""</xm:f>
            <x14:dxf>
              <fill>
                <patternFill>
                  <bgColor rgb="FFFF0000"/>
                </patternFill>
              </fill>
            </x14:dxf>
          </x14:cfRule>
          <xm:sqref>R36:U36</xm:sqref>
        </x14:conditionalFormatting>
        <x14:conditionalFormatting xmlns:xm="http://schemas.microsoft.com/office/excel/2006/main">
          <x14:cfRule type="expression" priority="149" id="{75FB2A54-96BF-4495-B164-22AA1F841930}">
            <xm:f>AND(R36="",VLOOKUP(R37,Calendars!$O$1:$U$398,MATCH($X$1,Calendars!$O$1:$U$1,0),FALSE)="")</xm:f>
            <x14:dxf>
              <fill>
                <patternFill>
                  <bgColor rgb="FFFF0000"/>
                </patternFill>
              </fill>
            </x14:dxf>
          </x14:cfRule>
          <xm:sqref>R36:U36</xm:sqref>
        </x14:conditionalFormatting>
        <x14:conditionalFormatting xmlns:xm="http://schemas.microsoft.com/office/excel/2006/main">
          <x14:cfRule type="expression" priority="139" id="{23D8B24D-359E-4877-9F69-681497A62B69}">
            <xm:f>VLOOKUP(X29,Calendars!$O$1:$U$398,MATCH($P$1,Calendars!$O$1:$U$1,0),FALSE)="Holiday"</xm:f>
            <x14:dxf>
              <fill>
                <patternFill>
                  <bgColor rgb="FFFF99FF"/>
                </patternFill>
              </fill>
            </x14:dxf>
          </x14:cfRule>
          <x14:cfRule type="expression" priority="140" id="{5506475E-6A75-47B7-8141-D2578AFAC9C8}">
            <xm:f>VLOOKUP(X29,Calendars!$O$1:$U$398,MATCH($P$1,Calendars!$O$1:$U$1,0),FALSE)="Non Contract"</xm:f>
            <x14:dxf>
              <fill>
                <patternFill patternType="lightDown"/>
              </fill>
            </x14:dxf>
          </x14:cfRule>
          <xm:sqref>X28</xm:sqref>
        </x14:conditionalFormatting>
        <x14:conditionalFormatting xmlns:xm="http://schemas.microsoft.com/office/excel/2006/main">
          <x14:cfRule type="expression" priority="142" id="{6C9643B5-6790-4F83-AED0-4AA1CAAC6B70}">
            <xm:f>VLOOKUP(X29,Calendars!$O$1:$U$398,MATCH($P$1,Calendars!$O$1:$U$1,0),FALSE)=""</xm:f>
            <x14:dxf>
              <fill>
                <patternFill>
                  <bgColor rgb="FFFF0000"/>
                </patternFill>
              </fill>
            </x14:dxf>
          </x14:cfRule>
          <xm:sqref>X28</xm:sqref>
        </x14:conditionalFormatting>
        <x14:conditionalFormatting xmlns:xm="http://schemas.microsoft.com/office/excel/2006/main">
          <x14:cfRule type="expression" priority="135" id="{AE82FA12-7974-4AFC-9D6B-0D32250828E0}">
            <xm:f>AND(X28="",VLOOKUP(X29,Calendars!$O$1:$U$398,MATCH($X$1,Calendars!$O$1:$U$1,0),FALSE)="")</xm:f>
            <x14:dxf>
              <fill>
                <patternFill>
                  <bgColor rgb="FFFF0000"/>
                </patternFill>
              </fill>
            </x14:dxf>
          </x14:cfRule>
          <xm:sqref>X28</xm:sqref>
        </x14:conditionalFormatting>
        <x14:conditionalFormatting xmlns:xm="http://schemas.microsoft.com/office/excel/2006/main">
          <x14:cfRule type="expression" priority="125" id="{2DDDC3BC-15FF-45F1-B380-57004651AC6B}">
            <xm:f>VLOOKUP(Y29,Calendars!$O$1:$U$398,MATCH($P$1,Calendars!$O$1:$U$1,0),FALSE)="Holiday"</xm:f>
            <x14:dxf>
              <fill>
                <patternFill>
                  <bgColor rgb="FFFF99FF"/>
                </patternFill>
              </fill>
            </x14:dxf>
          </x14:cfRule>
          <x14:cfRule type="expression" priority="126" id="{C04E7800-AAC9-431E-8EF8-A66CD2F90ECC}">
            <xm:f>VLOOKUP(Y29,Calendars!$O$1:$U$398,MATCH($P$1,Calendars!$O$1:$U$1,0),FALSE)="Non Contract"</xm:f>
            <x14:dxf>
              <fill>
                <patternFill patternType="lightDown"/>
              </fill>
            </x14:dxf>
          </x14:cfRule>
          <xm:sqref>Y28:AB28</xm:sqref>
        </x14:conditionalFormatting>
        <x14:conditionalFormatting xmlns:xm="http://schemas.microsoft.com/office/excel/2006/main">
          <x14:cfRule type="expression" priority="128" id="{3B3C1527-5637-497F-B324-BF2F9DFAB5F9}">
            <xm:f>VLOOKUP(Y29,Calendars!$O$1:$U$398,MATCH($P$1,Calendars!$O$1:$U$1,0),FALSE)=""</xm:f>
            <x14:dxf>
              <fill>
                <patternFill>
                  <bgColor rgb="FFFF0000"/>
                </patternFill>
              </fill>
            </x14:dxf>
          </x14:cfRule>
          <xm:sqref>Y28:AB28</xm:sqref>
        </x14:conditionalFormatting>
        <x14:conditionalFormatting xmlns:xm="http://schemas.microsoft.com/office/excel/2006/main">
          <x14:cfRule type="expression" priority="121" id="{9E4E5901-389C-4DDF-8167-CD814DA446DC}">
            <xm:f>AND(Y28="",VLOOKUP(Y29,Calendars!$O$1:$U$398,MATCH($X$1,Calendars!$O$1:$U$1,0),FALSE)="")</xm:f>
            <x14:dxf>
              <fill>
                <patternFill>
                  <bgColor rgb="FFFF0000"/>
                </patternFill>
              </fill>
            </x14:dxf>
          </x14:cfRule>
          <xm:sqref>Y28:AB28</xm:sqref>
        </x14:conditionalFormatting>
        <x14:conditionalFormatting xmlns:xm="http://schemas.microsoft.com/office/excel/2006/main">
          <x14:cfRule type="expression" priority="111" id="{210FFD55-0113-4C5E-8F57-5F138C377DF1}">
            <xm:f>VLOOKUP(X31,Calendars!$O$1:$U$398,MATCH($P$1,Calendars!$O$1:$U$1,0),FALSE)="Holiday"</xm:f>
            <x14:dxf>
              <fill>
                <patternFill>
                  <bgColor rgb="FFFF99FF"/>
                </patternFill>
              </fill>
            </x14:dxf>
          </x14:cfRule>
          <x14:cfRule type="expression" priority="112" id="{E803D1F0-D70C-4D40-9A57-1EBFF7E558A3}">
            <xm:f>VLOOKUP(X31,Calendars!$O$1:$U$398,MATCH($P$1,Calendars!$O$1:$U$1,0),FALSE)="Non Contract"</xm:f>
            <x14:dxf>
              <fill>
                <patternFill patternType="lightDown"/>
              </fill>
            </x14:dxf>
          </x14:cfRule>
          <xm:sqref>X30</xm:sqref>
        </x14:conditionalFormatting>
        <x14:conditionalFormatting xmlns:xm="http://schemas.microsoft.com/office/excel/2006/main">
          <x14:cfRule type="expression" priority="114" id="{879379FA-AC33-46DC-B59B-0231AE18E2B8}">
            <xm:f>VLOOKUP(X31,Calendars!$O$1:$U$398,MATCH($P$1,Calendars!$O$1:$U$1,0),FALSE)=""</xm:f>
            <x14:dxf>
              <fill>
                <patternFill>
                  <bgColor rgb="FFFF0000"/>
                </patternFill>
              </fill>
            </x14:dxf>
          </x14:cfRule>
          <xm:sqref>X30</xm:sqref>
        </x14:conditionalFormatting>
        <x14:conditionalFormatting xmlns:xm="http://schemas.microsoft.com/office/excel/2006/main">
          <x14:cfRule type="expression" priority="107" id="{EBA202F4-7D11-4FDF-BAA4-8955065E403B}">
            <xm:f>AND(X30="",VLOOKUP(X31,Calendars!$O$1:$U$398,MATCH($X$1,Calendars!$O$1:$U$1,0),FALSE)="")</xm:f>
            <x14:dxf>
              <fill>
                <patternFill>
                  <bgColor rgb="FFFF0000"/>
                </patternFill>
              </fill>
            </x14:dxf>
          </x14:cfRule>
          <xm:sqref>X30</xm:sqref>
        </x14:conditionalFormatting>
        <x14:conditionalFormatting xmlns:xm="http://schemas.microsoft.com/office/excel/2006/main">
          <x14:cfRule type="expression" priority="97" id="{7353CC1D-929D-4268-B648-74E1FB71EEAF}">
            <xm:f>VLOOKUP(Y31,Calendars!$O$1:$U$398,MATCH($P$1,Calendars!$O$1:$U$1,0),FALSE)="Holiday"</xm:f>
            <x14:dxf>
              <fill>
                <patternFill>
                  <bgColor rgb="FFFF99FF"/>
                </patternFill>
              </fill>
            </x14:dxf>
          </x14:cfRule>
          <x14:cfRule type="expression" priority="98" id="{53E845EC-2474-48A1-A734-FAEC116DFF65}">
            <xm:f>VLOOKUP(Y31,Calendars!$O$1:$U$398,MATCH($P$1,Calendars!$O$1:$U$1,0),FALSE)="Non Contract"</xm:f>
            <x14:dxf>
              <fill>
                <patternFill patternType="lightDown"/>
              </fill>
            </x14:dxf>
          </x14:cfRule>
          <xm:sqref>Y30:AB30</xm:sqref>
        </x14:conditionalFormatting>
        <x14:conditionalFormatting xmlns:xm="http://schemas.microsoft.com/office/excel/2006/main">
          <x14:cfRule type="expression" priority="100" id="{ED13D099-1D6A-44D8-85FD-DAA1FB9B71AC}">
            <xm:f>VLOOKUP(Y31,Calendars!$O$1:$U$398,MATCH($P$1,Calendars!$O$1:$U$1,0),FALSE)=""</xm:f>
            <x14:dxf>
              <fill>
                <patternFill>
                  <bgColor rgb="FFFF0000"/>
                </patternFill>
              </fill>
            </x14:dxf>
          </x14:cfRule>
          <xm:sqref>Y30:AB30</xm:sqref>
        </x14:conditionalFormatting>
        <x14:conditionalFormatting xmlns:xm="http://schemas.microsoft.com/office/excel/2006/main">
          <x14:cfRule type="expression" priority="93" id="{DC0594FC-7395-45E2-90C8-DE8F56B4463C}">
            <xm:f>AND(Y30="",VLOOKUP(Y31,Calendars!$O$1:$U$398,MATCH($X$1,Calendars!$O$1:$U$1,0),FALSE)="")</xm:f>
            <x14:dxf>
              <fill>
                <patternFill>
                  <bgColor rgb="FFFF0000"/>
                </patternFill>
              </fill>
            </x14:dxf>
          </x14:cfRule>
          <xm:sqref>Y30:AB30</xm:sqref>
        </x14:conditionalFormatting>
        <x14:conditionalFormatting xmlns:xm="http://schemas.microsoft.com/office/excel/2006/main">
          <x14:cfRule type="expression" priority="83" id="{99EC088F-BCAF-480C-9E63-6AE429CF4432}">
            <xm:f>VLOOKUP(X33,Calendars!$O$1:$U$398,MATCH($P$1,Calendars!$O$1:$U$1,0),FALSE)="Holiday"</xm:f>
            <x14:dxf>
              <fill>
                <patternFill>
                  <bgColor rgb="FFFF99FF"/>
                </patternFill>
              </fill>
            </x14:dxf>
          </x14:cfRule>
          <x14:cfRule type="expression" priority="84" id="{919DE73E-DEC2-4556-99E0-BA4DFB39B25B}">
            <xm:f>VLOOKUP(X33,Calendars!$O$1:$U$398,MATCH($P$1,Calendars!$O$1:$U$1,0),FALSE)="Non Contract"</xm:f>
            <x14:dxf>
              <fill>
                <patternFill patternType="lightDown"/>
              </fill>
            </x14:dxf>
          </x14:cfRule>
          <xm:sqref>X32</xm:sqref>
        </x14:conditionalFormatting>
        <x14:conditionalFormatting xmlns:xm="http://schemas.microsoft.com/office/excel/2006/main">
          <x14:cfRule type="expression" priority="86" id="{B0FDA159-D5BF-4055-AC86-F3930D3AC5A1}">
            <xm:f>VLOOKUP(X33,Calendars!$O$1:$U$398,MATCH($P$1,Calendars!$O$1:$U$1,0),FALSE)=""</xm:f>
            <x14:dxf>
              <fill>
                <patternFill>
                  <bgColor rgb="FFFF0000"/>
                </patternFill>
              </fill>
            </x14:dxf>
          </x14:cfRule>
          <xm:sqref>X32</xm:sqref>
        </x14:conditionalFormatting>
        <x14:conditionalFormatting xmlns:xm="http://schemas.microsoft.com/office/excel/2006/main">
          <x14:cfRule type="expression" priority="79" id="{38BCE9DB-E343-40CE-A6A2-9809FA40098D}">
            <xm:f>AND(X32="",VLOOKUP(X33,Calendars!$O$1:$U$398,MATCH($X$1,Calendars!$O$1:$U$1,0),FALSE)="")</xm:f>
            <x14:dxf>
              <fill>
                <patternFill>
                  <bgColor rgb="FFFF0000"/>
                </patternFill>
              </fill>
            </x14:dxf>
          </x14:cfRule>
          <xm:sqref>X32</xm:sqref>
        </x14:conditionalFormatting>
        <x14:conditionalFormatting xmlns:xm="http://schemas.microsoft.com/office/excel/2006/main">
          <x14:cfRule type="expression" priority="69" id="{65F3FFBD-985F-4A6D-939A-660B797835FA}">
            <xm:f>VLOOKUP(Y33,Calendars!$O$1:$U$398,MATCH($P$1,Calendars!$O$1:$U$1,0),FALSE)="Holiday"</xm:f>
            <x14:dxf>
              <fill>
                <patternFill>
                  <bgColor rgb="FFFF99FF"/>
                </patternFill>
              </fill>
            </x14:dxf>
          </x14:cfRule>
          <x14:cfRule type="expression" priority="70" id="{22F4C5BA-417F-436D-8F5B-602E553BD2ED}">
            <xm:f>VLOOKUP(Y33,Calendars!$O$1:$U$398,MATCH($P$1,Calendars!$O$1:$U$1,0),FALSE)="Non Contract"</xm:f>
            <x14:dxf>
              <fill>
                <patternFill patternType="lightDown"/>
              </fill>
            </x14:dxf>
          </x14:cfRule>
          <xm:sqref>Y32:AB32</xm:sqref>
        </x14:conditionalFormatting>
        <x14:conditionalFormatting xmlns:xm="http://schemas.microsoft.com/office/excel/2006/main">
          <x14:cfRule type="expression" priority="72" id="{4DBCBA78-2B19-48FF-AB0D-FDBD15DD90AB}">
            <xm:f>VLOOKUP(Y33,Calendars!$O$1:$U$398,MATCH($P$1,Calendars!$O$1:$U$1,0),FALSE)=""</xm:f>
            <x14:dxf>
              <fill>
                <patternFill>
                  <bgColor rgb="FFFF0000"/>
                </patternFill>
              </fill>
            </x14:dxf>
          </x14:cfRule>
          <xm:sqref>Y32:AB32</xm:sqref>
        </x14:conditionalFormatting>
        <x14:conditionalFormatting xmlns:xm="http://schemas.microsoft.com/office/excel/2006/main">
          <x14:cfRule type="expression" priority="65" id="{F8BDC294-8F16-4B13-A82A-37AF5708961F}">
            <xm:f>AND(Y32="",VLOOKUP(Y33,Calendars!$O$1:$U$398,MATCH($X$1,Calendars!$O$1:$U$1,0),FALSE)="")</xm:f>
            <x14:dxf>
              <fill>
                <patternFill>
                  <bgColor rgb="FFFF0000"/>
                </patternFill>
              </fill>
            </x14:dxf>
          </x14:cfRule>
          <xm:sqref>Y32:AB32</xm:sqref>
        </x14:conditionalFormatting>
        <x14:conditionalFormatting xmlns:xm="http://schemas.microsoft.com/office/excel/2006/main">
          <x14:cfRule type="expression" priority="55" id="{9570D106-C6E6-4779-AFC5-CA3F7F7A77DD}">
            <xm:f>VLOOKUP(X35,Calendars!$O$1:$U$398,MATCH($P$1,Calendars!$O$1:$U$1,0),FALSE)="Holiday"</xm:f>
            <x14:dxf>
              <fill>
                <patternFill>
                  <bgColor rgb="FFFF99FF"/>
                </patternFill>
              </fill>
            </x14:dxf>
          </x14:cfRule>
          <x14:cfRule type="expression" priority="56" id="{045982FC-FE42-4460-896E-CDF7DB16F5D0}">
            <xm:f>VLOOKUP(X35,Calendars!$O$1:$U$398,MATCH($P$1,Calendars!$O$1:$U$1,0),FALSE)="Non Contract"</xm:f>
            <x14:dxf>
              <fill>
                <patternFill patternType="lightDown"/>
              </fill>
            </x14:dxf>
          </x14:cfRule>
          <xm:sqref>X34</xm:sqref>
        </x14:conditionalFormatting>
        <x14:conditionalFormatting xmlns:xm="http://schemas.microsoft.com/office/excel/2006/main">
          <x14:cfRule type="expression" priority="58" id="{A6EB2523-6EB9-4464-A615-8D04DCA528ED}">
            <xm:f>VLOOKUP(X35,Calendars!$O$1:$U$398,MATCH($P$1,Calendars!$O$1:$U$1,0),FALSE)=""</xm:f>
            <x14:dxf>
              <fill>
                <patternFill>
                  <bgColor rgb="FFFF0000"/>
                </patternFill>
              </fill>
            </x14:dxf>
          </x14:cfRule>
          <xm:sqref>X34</xm:sqref>
        </x14:conditionalFormatting>
        <x14:conditionalFormatting xmlns:xm="http://schemas.microsoft.com/office/excel/2006/main">
          <x14:cfRule type="expression" priority="51" id="{CAA88B8A-F3F4-4AA5-8DF4-0F57A47903E7}">
            <xm:f>AND(X34="",VLOOKUP(X35,Calendars!$O$1:$U$398,MATCH($X$1,Calendars!$O$1:$U$1,0),FALSE)="")</xm:f>
            <x14:dxf>
              <fill>
                <patternFill>
                  <bgColor rgb="FFFF0000"/>
                </patternFill>
              </fill>
            </x14:dxf>
          </x14:cfRule>
          <xm:sqref>X34</xm:sqref>
        </x14:conditionalFormatting>
        <x14:conditionalFormatting xmlns:xm="http://schemas.microsoft.com/office/excel/2006/main">
          <x14:cfRule type="expression" priority="41" id="{F7253CC6-A8C3-43C5-8E83-C4E7202ED693}">
            <xm:f>VLOOKUP(Y35,Calendars!$O$1:$U$398,MATCH($P$1,Calendars!$O$1:$U$1,0),FALSE)="Holiday"</xm:f>
            <x14:dxf>
              <fill>
                <patternFill>
                  <bgColor rgb="FFFF99FF"/>
                </patternFill>
              </fill>
            </x14:dxf>
          </x14:cfRule>
          <x14:cfRule type="expression" priority="42" id="{EBBFB53E-FDC3-48CB-80EF-3DCCF29F269D}">
            <xm:f>VLOOKUP(Y35,Calendars!$O$1:$U$398,MATCH($P$1,Calendars!$O$1:$U$1,0),FALSE)="Non Contract"</xm:f>
            <x14:dxf>
              <fill>
                <patternFill patternType="lightDown"/>
              </fill>
            </x14:dxf>
          </x14:cfRule>
          <xm:sqref>Y34:AB34</xm:sqref>
        </x14:conditionalFormatting>
        <x14:conditionalFormatting xmlns:xm="http://schemas.microsoft.com/office/excel/2006/main">
          <x14:cfRule type="expression" priority="44" id="{49C28842-411C-4B68-B235-B8DB34A8BC17}">
            <xm:f>VLOOKUP(Y35,Calendars!$O$1:$U$398,MATCH($P$1,Calendars!$O$1:$U$1,0),FALSE)=""</xm:f>
            <x14:dxf>
              <fill>
                <patternFill>
                  <bgColor rgb="FFFF0000"/>
                </patternFill>
              </fill>
            </x14:dxf>
          </x14:cfRule>
          <xm:sqref>Y34:AB34</xm:sqref>
        </x14:conditionalFormatting>
        <x14:conditionalFormatting xmlns:xm="http://schemas.microsoft.com/office/excel/2006/main">
          <x14:cfRule type="expression" priority="37" id="{E7AE91EB-E2F7-4E18-A93D-1D1AF4906A4C}">
            <xm:f>AND(Y34="",VLOOKUP(Y35,Calendars!$O$1:$U$398,MATCH($X$1,Calendars!$O$1:$U$1,0),FALSE)="")</xm:f>
            <x14:dxf>
              <fill>
                <patternFill>
                  <bgColor rgb="FFFF0000"/>
                </patternFill>
              </fill>
            </x14:dxf>
          </x14:cfRule>
          <xm:sqref>Y34:AB34</xm:sqref>
        </x14:conditionalFormatting>
        <x14:conditionalFormatting xmlns:xm="http://schemas.microsoft.com/office/excel/2006/main">
          <x14:cfRule type="expression" priority="27" id="{22501DA2-A0E3-4E5E-8109-92C0983161B4}">
            <xm:f>VLOOKUP(X37,Calendars!$O$1:$U$398,MATCH($P$1,Calendars!$O$1:$U$1,0),FALSE)="Holiday"</xm:f>
            <x14:dxf>
              <fill>
                <patternFill>
                  <bgColor rgb="FFFF99FF"/>
                </patternFill>
              </fill>
            </x14:dxf>
          </x14:cfRule>
          <x14:cfRule type="expression" priority="28" id="{B6CBC419-49B1-4998-98BD-FCE4DA2A0A6C}">
            <xm:f>VLOOKUP(X37,Calendars!$O$1:$U$398,MATCH($P$1,Calendars!$O$1:$U$1,0),FALSE)="Non Contract"</xm:f>
            <x14:dxf>
              <fill>
                <patternFill patternType="lightDown"/>
              </fill>
            </x14:dxf>
          </x14:cfRule>
          <xm:sqref>X36</xm:sqref>
        </x14:conditionalFormatting>
        <x14:conditionalFormatting xmlns:xm="http://schemas.microsoft.com/office/excel/2006/main">
          <x14:cfRule type="expression" priority="30" id="{8799C3CE-A4D9-4DAE-B0C3-FF11C039AF05}">
            <xm:f>VLOOKUP(X37,Calendars!$O$1:$U$398,MATCH($P$1,Calendars!$O$1:$U$1,0),FALSE)=""</xm:f>
            <x14:dxf>
              <fill>
                <patternFill>
                  <bgColor rgb="FFFF0000"/>
                </patternFill>
              </fill>
            </x14:dxf>
          </x14:cfRule>
          <xm:sqref>X36</xm:sqref>
        </x14:conditionalFormatting>
        <x14:conditionalFormatting xmlns:xm="http://schemas.microsoft.com/office/excel/2006/main">
          <x14:cfRule type="expression" priority="23" id="{1056401E-3BFA-450A-8E35-E045F5033867}">
            <xm:f>AND(X36="",VLOOKUP(X37,Calendars!$O$1:$U$398,MATCH($X$1,Calendars!$O$1:$U$1,0),FALSE)="")</xm:f>
            <x14:dxf>
              <fill>
                <patternFill>
                  <bgColor rgb="FFFF0000"/>
                </patternFill>
              </fill>
            </x14:dxf>
          </x14:cfRule>
          <xm:sqref>X36</xm:sqref>
        </x14:conditionalFormatting>
        <x14:conditionalFormatting xmlns:xm="http://schemas.microsoft.com/office/excel/2006/main">
          <x14:cfRule type="expression" priority="13" id="{C535094C-DE69-4CFF-AD40-4056BE32A781}">
            <xm:f>VLOOKUP(Y37,Calendars!$O$1:$U$398,MATCH($P$1,Calendars!$O$1:$U$1,0),FALSE)="Holiday"</xm:f>
            <x14:dxf>
              <fill>
                <patternFill>
                  <bgColor rgb="FFFF99FF"/>
                </patternFill>
              </fill>
            </x14:dxf>
          </x14:cfRule>
          <x14:cfRule type="expression" priority="14" id="{DBD8F152-8E9D-4F12-9D77-15B5C6E13611}">
            <xm:f>VLOOKUP(Y37,Calendars!$O$1:$U$398,MATCH($P$1,Calendars!$O$1:$U$1,0),FALSE)="Non Contract"</xm:f>
            <x14:dxf>
              <fill>
                <patternFill patternType="lightDown"/>
              </fill>
            </x14:dxf>
          </x14:cfRule>
          <xm:sqref>Y36:AB36</xm:sqref>
        </x14:conditionalFormatting>
        <x14:conditionalFormatting xmlns:xm="http://schemas.microsoft.com/office/excel/2006/main">
          <x14:cfRule type="expression" priority="16" id="{F3E4B3B2-54EC-42F4-8354-A2BFF5A5730A}">
            <xm:f>VLOOKUP(Y37,Calendars!$O$1:$U$398,MATCH($P$1,Calendars!$O$1:$U$1,0),FALSE)=""</xm:f>
            <x14:dxf>
              <fill>
                <patternFill>
                  <bgColor rgb="FFFF0000"/>
                </patternFill>
              </fill>
            </x14:dxf>
          </x14:cfRule>
          <xm:sqref>Y36:AB36</xm:sqref>
        </x14:conditionalFormatting>
        <x14:conditionalFormatting xmlns:xm="http://schemas.microsoft.com/office/excel/2006/main">
          <x14:cfRule type="expression" priority="9" id="{88986A3C-F1A6-4387-A76C-F882A3E5A579}">
            <xm:f>AND(Y36="",VLOOKUP(Y37,Calendars!$O$1:$U$398,MATCH($X$1,Calendars!$O$1:$U$1,0),FALSE)="")</xm:f>
            <x14:dxf>
              <fill>
                <patternFill>
                  <bgColor rgb="FFFF0000"/>
                </patternFill>
              </fill>
            </x14:dxf>
          </x14:cfRule>
          <xm:sqref>Y36:AB36</xm:sqref>
        </x14:conditionalFormatting>
        <x14:conditionalFormatting xmlns:xm="http://schemas.microsoft.com/office/excel/2006/main">
          <x14:cfRule type="expression" priority="6" id="{15F93F5B-48E9-4B82-8182-14939CCA9E1D}">
            <xm:f>VLOOKUP(J24,Calendars!$V$1:$AB$398,MATCH($P$1,Calendars!$V$1:$AB$1,0),FALSE)="Flex"</xm:f>
            <x14:dxf>
              <fill>
                <patternFill>
                  <bgColor rgb="FF0070C0"/>
                </patternFill>
              </fill>
            </x14:dxf>
          </x14:cfRule>
          <xm:sqref>J24:L24</xm:sqref>
        </x14:conditionalFormatting>
        <x14:conditionalFormatting xmlns:xm="http://schemas.microsoft.com/office/excel/2006/main">
          <x14:cfRule type="expression" priority="37970" id="{E3660B96-FC10-4048-A338-E87A612B7644}">
            <xm:f>VLOOKUP(C7,Calendars!$V$1:$AB$398,MATCH($P$1,Calendars!$V$1:$AB$1,0),FALSE)="MPTC"</xm:f>
            <x14:dxf>
              <fill>
                <patternFill>
                  <bgColor theme="5" tint="0.39994506668294322"/>
                </patternFill>
              </fill>
            </x14:dxf>
          </x14:cfRule>
          <x14:cfRule type="expression" priority="37971" id="{20FD9D9A-9D0B-449D-A7DB-A28846AAD145}">
            <xm:f>VLOOKUP(C7,Calendars!$V$1:$AB$398,MATCH($P$1,Calendars!$V$1:$AB$1,0),FALSE)="PTC"</xm:f>
            <x14:dxf>
              <fill>
                <patternFill>
                  <bgColor theme="5" tint="-0.24994659260841701"/>
                </patternFill>
              </fill>
            </x14:dxf>
          </x14:cfRule>
          <x14:cfRule type="expression" priority="37972" id="{0ABE03A0-2639-41B9-99F1-2793544E8055}">
            <xm:f>VLOOKUP(C7,Calendars!$V$1:$AB$398,MATCH($P$1,Calendars!$V$1:$AB$1,0),FALSE)="PD"</xm:f>
            <x14:dxf>
              <fill>
                <patternFill>
                  <bgColor rgb="FF0070C0"/>
                </patternFill>
              </fill>
            </x14:dxf>
          </x14:cfRule>
          <x14:cfRule type="expression" priority="37973" id="{8C85562D-CEA9-41A5-8A50-70582FDAF4FB}">
            <xm:f>VLOOKUP(C7,Calendars!$O$1:$U$398,MATCH($P$1,Calendars!$O$1:$U$1,0),FALSE)="Non Contract"</xm:f>
            <x14:dxf>
              <fill>
                <patternFill patternType="lightDown"/>
              </fill>
            </x14:dxf>
          </x14:cfRule>
          <x14:cfRule type="expression" priority="37974" id="{B2FCB890-C505-4559-B4C2-9856A2361095}">
            <xm:f>VLOOKUP(C7,Calendars!$O$1:$U$398,MATCH($P$1,Calendars!$O$1:$U$1,0),FALSE)="Holiday"</xm:f>
            <x14:dxf>
              <fill>
                <patternFill>
                  <bgColor rgb="FFFF99FF"/>
                </patternFill>
              </fill>
            </x14:dxf>
          </x14:cfRule>
          <xm:sqref>X40:AB40 X42:AB42 C7:G7 C9:G9 C11:G11 C13:G13 C15:G15 J7:N7 J9:N9 J11:N11 J13:N13 J15:N15 Q7:U7 Q9:U9 Q11:U11 Q13:U13 Q15:U15 X7:AB7 X9:AB9 X11:AB11 X13:AB13 X15:AB15 C18:G18 C20:G20 C22:G22 C24:G24 C26:G26 J18:N18 J20:N20 J22:N22 J24:N24 J26:N26 Q18:U18 Q20 Q22:U22 Q24:U24 Q26:U26 X18:AB18 X20:AB20 X22:AB22 X24:AB24 X26:AB26 C31:G31 C33:G33 C35:G35 C37:G37 J29:N29 J31:N31 J33:N33 J35:N35 J37:N37 Q29:U29 Q31:U31 Q33:U33 Q35:U35 Q37:U37 X29:AB29 X31:AB31 X33:AB33 X35:AB35 X37:AB37 D29:G29</xm:sqref>
        </x14:conditionalFormatting>
        <x14:conditionalFormatting xmlns:xm="http://schemas.microsoft.com/office/excel/2006/main">
          <x14:cfRule type="expression" priority="38295" id="{D30E7966-06DC-485F-AA20-14AF2C078E5B}">
            <xm:f>VLOOKUP(R20,Calendars!$V:$AB,MATCH($P$1,Calendars!$V$1:$AB$1,0),FALSE)="HW"</xm:f>
            <x14:dxf>
              <fill>
                <patternFill>
                  <bgColor rgb="FF00B050"/>
                </patternFill>
              </fill>
            </x14:dxf>
          </x14:cfRule>
          <x14:cfRule type="expression" priority="38296" id="{DFB969FA-4D5A-46E1-A15D-72EFA2CF9CBE}">
            <xm:f>VLOOKUP(R20,Calendars!$V$1:$AB$398,MATCH($P$1,Calendars!$V$1:$AB$1,0),FALSE)="MPTC"</xm:f>
            <x14:dxf>
              <fill>
                <patternFill>
                  <bgColor theme="5" tint="0.39994506668294322"/>
                </patternFill>
              </fill>
            </x14:dxf>
          </x14:cfRule>
          <x14:cfRule type="expression" priority="38297" id="{14924331-5929-46CF-B5C2-358B1545A948}">
            <xm:f>VLOOKUP(R20,Calendars!$V$1:$AB$398,MATCH($P$1,Calendars!$V$1:$AB$1,0),FALSE)="PTC"</xm:f>
            <x14:dxf>
              <fill>
                <patternFill>
                  <bgColor theme="5" tint="-0.24994659260841701"/>
                </patternFill>
              </fill>
            </x14:dxf>
          </x14:cfRule>
          <x14:cfRule type="expression" priority="38298" id="{3CA63485-9168-422B-B39E-FA31F0D2D297}">
            <xm:f>VLOOKUP(R20,Calendars!$V$1:$AB$398,MATCH($P$1,Calendars!$V$1:$AB$1,0),FALSE)="PD"</xm:f>
            <x14:dxf>
              <fill>
                <patternFill>
                  <bgColor rgb="FF0070C0"/>
                </patternFill>
              </fill>
            </x14:dxf>
          </x14:cfRule>
          <x14:cfRule type="expression" priority="38299" id="{AB8B343A-5912-4456-9601-049AC7AA93D1}">
            <xm:f>VLOOKUP(R20,Calendars!$O$1:$U$398,MATCH($P$1,Calendars!$O$1:$U$1,0),FALSE)="Non Contract"</xm:f>
            <x14:dxf>
              <fill>
                <patternFill patternType="lightDown"/>
              </fill>
            </x14:dxf>
          </x14:cfRule>
          <x14:cfRule type="expression" priority="38300" id="{DA7F53EE-6001-4E77-AB56-1E99909F5E98}">
            <xm:f>VLOOKUP(R20,Calendars!$O$1:$U$398,MATCH($P$1,Calendars!$O$1:$U$1,0),FALSE)="Holiday"</xm:f>
            <x14:dxf>
              <fill>
                <patternFill>
                  <bgColor rgb="FFFF99FF"/>
                </patternFill>
              </fill>
            </x14:dxf>
          </x14:cfRule>
          <xm:sqref>R20:U20</xm:sqref>
        </x14:conditionalFormatting>
        <x14:conditionalFormatting xmlns:xm="http://schemas.microsoft.com/office/excel/2006/main">
          <x14:cfRule type="expression" priority="1" id="{B5C9B46D-A976-43CD-A43F-4B27F8AA6517}">
            <xm:f>VLOOKUP(C29,Calendars!$V:$AB,MATCH($X$1,Calendars!$V$1:$AB$1,0),FALSE)="MPTC"</xm:f>
            <x14:dxf>
              <fill>
                <patternFill>
                  <bgColor theme="5" tint="0.39994506668294322"/>
                </patternFill>
              </fill>
            </x14:dxf>
          </x14:cfRule>
          <x14:cfRule type="expression" priority="2" id="{B0C543A9-ECAE-4B7B-A45B-06C5EF66D6D5}">
            <xm:f>VLOOKUP(C29,Calendars!$V:$AC,MATCH($X$1,Calendars!$V$1:$AC$1,0),FALSE)="PTC"</xm:f>
            <x14:dxf>
              <fill>
                <patternFill>
                  <bgColor theme="5" tint="-0.24994659260841701"/>
                </patternFill>
              </fill>
            </x14:dxf>
          </x14:cfRule>
          <x14:cfRule type="expression" priority="3" id="{CA8867E4-7BB0-4684-AA72-73CE25688633}">
            <xm:f>VLOOKUP(C29,Calendars!$V:$AC,MATCH($X$1,Calendars!$V$1:$AC$1,0),FALSE)="PD"</xm:f>
            <x14:dxf>
              <fill>
                <patternFill>
                  <bgColor rgb="FF0070C0"/>
                </patternFill>
              </fill>
            </x14:dxf>
          </x14:cfRule>
          <x14:cfRule type="expression" priority="4" id="{E264DF8D-FD91-4067-ABF4-8FEAEF42BEAB}">
            <xm:f>VLOOKUP(C29,Calendars!$O:$U,MATCH($X$1,Calendars!$O$1:$U$1,0),FALSE)="Non Contract"</xm:f>
            <x14:dxf>
              <fill>
                <patternFill patternType="lightDown"/>
              </fill>
            </x14:dxf>
          </x14:cfRule>
          <x14:cfRule type="expression" priority="5" id="{28B7B78F-E2CC-4B9B-94FA-BFC1C592B208}">
            <xm:f>VLOOKUP(C29,Calendars!$O:$U,MATCH($X$1,Calendars!$O$1:$U$1,0),FALSE)="Holiday"</xm:f>
            <x14:dxf>
              <fill>
                <patternFill>
                  <bgColor rgb="FFFF99FF"/>
                </patternFill>
              </fill>
            </x14:dxf>
          </x14:cfRule>
          <xm:sqref>C29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AO400"/>
  <sheetViews>
    <sheetView workbookViewId="0">
      <selection sqref="A1:B1"/>
    </sheetView>
  </sheetViews>
  <sheetFormatPr defaultRowHeight="15" x14ac:dyDescent="0.25"/>
  <cols>
    <col min="1" max="1" width="11.42578125" bestFit="1" customWidth="1"/>
    <col min="2" max="2" width="6.85546875" bestFit="1" customWidth="1"/>
    <col min="3" max="3" width="8.42578125" bestFit="1" customWidth="1"/>
    <col min="4" max="4" width="10.5703125" bestFit="1" customWidth="1"/>
    <col min="5" max="5" width="9.5703125" bestFit="1" customWidth="1"/>
    <col min="6" max="6" width="23.28515625" bestFit="1" customWidth="1"/>
    <col min="7" max="7" width="2" bestFit="1" customWidth="1"/>
    <col min="8" max="8" width="2.85546875" bestFit="1" customWidth="1"/>
    <col min="9" max="13" width="2.85546875" customWidth="1"/>
    <col min="15" max="15" width="10.5703125" style="60" bestFit="1" customWidth="1"/>
    <col min="16" max="16" width="14.5703125" style="121" bestFit="1" customWidth="1"/>
    <col min="17" max="17" width="15.85546875" style="189" customWidth="1"/>
    <col min="18" max="18" width="16" customWidth="1"/>
    <col min="19" max="21" width="12.5703125" customWidth="1"/>
    <col min="22" max="22" width="14.5703125" customWidth="1"/>
    <col min="23" max="24" width="15.85546875" customWidth="1"/>
    <col min="25" max="25" width="16" customWidth="1"/>
    <col min="26" max="26" width="11.140625" customWidth="1"/>
    <col min="27" max="27" width="9.7109375" customWidth="1"/>
    <col min="28" max="28" width="10.42578125" bestFit="1" customWidth="1"/>
    <col min="29" max="29" width="7.28515625" bestFit="1" customWidth="1"/>
    <col min="30" max="30" width="15.85546875" customWidth="1"/>
    <col min="31" max="31" width="16" customWidth="1"/>
    <col min="32" max="32" width="11.140625" customWidth="1"/>
    <col min="33" max="33" width="9.5703125" customWidth="1"/>
    <col min="34" max="34" width="10.42578125" bestFit="1" customWidth="1"/>
    <col min="35" max="35" width="10.42578125" customWidth="1"/>
    <col min="36" max="37" width="5.5703125" style="94" customWidth="1"/>
    <col min="38" max="38" width="18.85546875" style="94" customWidth="1"/>
    <col min="39" max="39" width="34.5703125" style="94" customWidth="1"/>
    <col min="40" max="40" width="11.140625" customWidth="1"/>
    <col min="41" max="41" width="10.42578125" bestFit="1" customWidth="1"/>
  </cols>
  <sheetData>
    <row r="1" spans="1:41" ht="30" x14ac:dyDescent="0.25">
      <c r="A1" s="339" t="s">
        <v>83</v>
      </c>
      <c r="B1" s="339"/>
      <c r="C1" s="40">
        <v>2026</v>
      </c>
      <c r="D1" s="40"/>
      <c r="E1" t="s">
        <v>288</v>
      </c>
      <c r="F1" s="186">
        <f>DATE(BegCalYear,5,1)</f>
        <v>46143</v>
      </c>
      <c r="O1" s="60" t="s">
        <v>14</v>
      </c>
      <c r="P1" s="121" t="s">
        <v>189</v>
      </c>
      <c r="Q1" s="210" t="s">
        <v>215</v>
      </c>
      <c r="R1" s="211" t="s">
        <v>216</v>
      </c>
      <c r="S1" s="212" t="s">
        <v>217</v>
      </c>
      <c r="T1" s="212" t="s">
        <v>218</v>
      </c>
      <c r="U1" s="212" t="s">
        <v>219</v>
      </c>
      <c r="V1" t="s">
        <v>14</v>
      </c>
      <c r="W1" t="s">
        <v>189</v>
      </c>
      <c r="X1" s="211" t="s">
        <v>215</v>
      </c>
      <c r="Y1" s="211" t="s">
        <v>216</v>
      </c>
      <c r="Z1" s="212" t="s">
        <v>217</v>
      </c>
      <c r="AA1" s="212" t="s">
        <v>218</v>
      </c>
      <c r="AB1" s="212" t="s">
        <v>219</v>
      </c>
      <c r="AC1" s="212" t="s">
        <v>144</v>
      </c>
      <c r="AD1" t="s">
        <v>289</v>
      </c>
      <c r="AE1" s="119" t="s">
        <v>215</v>
      </c>
      <c r="AF1" s="119" t="s">
        <v>216</v>
      </c>
      <c r="AG1" s="120" t="s">
        <v>217</v>
      </c>
      <c r="AH1" s="120" t="s">
        <v>218</v>
      </c>
      <c r="AI1" s="120" t="s">
        <v>219</v>
      </c>
      <c r="AJ1" s="120"/>
      <c r="AK1" s="187" t="s">
        <v>290</v>
      </c>
      <c r="AL1" s="188" t="s">
        <v>291</v>
      </c>
      <c r="AM1" s="188" t="s">
        <v>292</v>
      </c>
      <c r="AN1" s="94" t="s">
        <v>293</v>
      </c>
      <c r="AO1" t="s">
        <v>507</v>
      </c>
    </row>
    <row r="2" spans="1:41" ht="15.75" x14ac:dyDescent="0.25">
      <c r="A2" s="339" t="s">
        <v>84</v>
      </c>
      <c r="B2" s="339"/>
      <c r="C2" s="40">
        <v>2027</v>
      </c>
      <c r="D2" s="40"/>
      <c r="Q2" s="210">
        <v>207</v>
      </c>
      <c r="R2" s="211">
        <v>207</v>
      </c>
      <c r="S2" s="212">
        <v>187</v>
      </c>
      <c r="T2" s="212">
        <v>187</v>
      </c>
      <c r="U2" s="212">
        <v>187</v>
      </c>
      <c r="AE2">
        <v>207</v>
      </c>
      <c r="AF2">
        <v>207</v>
      </c>
      <c r="AG2">
        <v>187</v>
      </c>
      <c r="AH2">
        <v>187</v>
      </c>
      <c r="AI2">
        <v>187</v>
      </c>
      <c r="AJ2"/>
      <c r="AK2" s="94" t="s">
        <v>294</v>
      </c>
      <c r="AL2" s="94" t="s">
        <v>295</v>
      </c>
      <c r="AM2" s="94" t="s">
        <v>87</v>
      </c>
      <c r="AN2" s="94" t="s">
        <v>88</v>
      </c>
      <c r="AO2" s="201" t="s">
        <v>508</v>
      </c>
    </row>
    <row r="3" spans="1:41" x14ac:dyDescent="0.25">
      <c r="A3" s="91" t="s">
        <v>66</v>
      </c>
      <c r="B3" s="92" t="s">
        <v>85</v>
      </c>
      <c r="C3" s="92" t="s">
        <v>86</v>
      </c>
      <c r="D3" s="92" t="s">
        <v>79</v>
      </c>
      <c r="E3" s="60">
        <v>44378</v>
      </c>
      <c r="F3" s="189"/>
      <c r="G3">
        <v>1</v>
      </c>
      <c r="H3" t="s">
        <v>296</v>
      </c>
      <c r="O3" s="60">
        <f>DATE(BegCalYear,7,1)</f>
        <v>46204</v>
      </c>
      <c r="P3" s="121">
        <f>WEEKDAY(O3)</f>
        <v>4</v>
      </c>
      <c r="Q3" s="189" t="s">
        <v>178</v>
      </c>
      <c r="R3" s="60" t="s">
        <v>178</v>
      </c>
      <c r="S3" s="60" t="s">
        <v>178</v>
      </c>
      <c r="T3" s="60" t="s">
        <v>178</v>
      </c>
      <c r="U3" s="60" t="s">
        <v>178</v>
      </c>
      <c r="V3" s="60">
        <f>DATE(BegCalYear,7,1)</f>
        <v>46204</v>
      </c>
      <c r="W3" s="121">
        <f t="shared" ref="W3:W66" si="0">WEEKDAY(V3)</f>
        <v>4</v>
      </c>
      <c r="AD3" s="60">
        <f>DATE(BegCalYear,7,1)</f>
        <v>46204</v>
      </c>
      <c r="AE3">
        <f t="shared" ref="AE3:AE66" si="1">AE2-(IF(Q3=1,1,0))</f>
        <v>207</v>
      </c>
      <c r="AF3">
        <f t="shared" ref="AF3:AF66" si="2">AF2-(IF(R3=1,1,0))</f>
        <v>207</v>
      </c>
      <c r="AG3">
        <f t="shared" ref="AG3:AG66" si="3">AG2-(IF(S3=1,1,0))</f>
        <v>187</v>
      </c>
      <c r="AH3">
        <f t="shared" ref="AH3:AH66" si="4">AH2-(IF(T3=1,1,0))</f>
        <v>187</v>
      </c>
      <c r="AI3">
        <f t="shared" ref="AI3:AI66" si="5">AI2-(IF(U3=1,1,0))</f>
        <v>187</v>
      </c>
      <c r="AJ3"/>
      <c r="AK3" s="94" t="s">
        <v>297</v>
      </c>
      <c r="AL3" s="94" t="s">
        <v>298</v>
      </c>
      <c r="AM3" s="94" t="s">
        <v>225</v>
      </c>
      <c r="AN3" s="94" t="s">
        <v>88</v>
      </c>
      <c r="AO3" s="94" t="s">
        <v>226</v>
      </c>
    </row>
    <row r="4" spans="1:41" x14ac:dyDescent="0.25">
      <c r="A4" s="40" t="s">
        <v>67</v>
      </c>
      <c r="B4" s="40">
        <v>2019</v>
      </c>
      <c r="C4" s="40">
        <v>2020</v>
      </c>
      <c r="D4" s="93">
        <f>DATE(BegCalYear,7,1)-WEEKDAY(DATE(BegCalYear,7,1),1)</f>
        <v>46200</v>
      </c>
      <c r="E4" s="60">
        <v>44409</v>
      </c>
      <c r="F4" s="189"/>
      <c r="G4" s="189">
        <v>2</v>
      </c>
      <c r="H4" t="s">
        <v>0</v>
      </c>
      <c r="O4" s="60">
        <f>O3+1</f>
        <v>46205</v>
      </c>
      <c r="P4" s="121">
        <f t="shared" ref="P4:P67" si="6">WEEKDAY(O4)</f>
        <v>5</v>
      </c>
      <c r="Q4" s="189" t="s">
        <v>178</v>
      </c>
      <c r="R4" s="60" t="s">
        <v>178</v>
      </c>
      <c r="S4" s="60" t="s">
        <v>178</v>
      </c>
      <c r="T4" s="60" t="s">
        <v>178</v>
      </c>
      <c r="U4" s="60" t="s">
        <v>178</v>
      </c>
      <c r="V4" s="60">
        <f t="shared" ref="V4:V67" si="7">V3+1</f>
        <v>46205</v>
      </c>
      <c r="W4" s="121">
        <f t="shared" si="0"/>
        <v>5</v>
      </c>
      <c r="AD4" s="60">
        <f>AD3+1</f>
        <v>46205</v>
      </c>
      <c r="AE4">
        <f t="shared" si="1"/>
        <v>207</v>
      </c>
      <c r="AF4">
        <f t="shared" si="2"/>
        <v>207</v>
      </c>
      <c r="AG4">
        <f t="shared" si="3"/>
        <v>187</v>
      </c>
      <c r="AH4">
        <f t="shared" si="4"/>
        <v>187</v>
      </c>
      <c r="AI4">
        <f t="shared" si="5"/>
        <v>187</v>
      </c>
      <c r="AJ4"/>
      <c r="AK4" s="94" t="s">
        <v>299</v>
      </c>
      <c r="AL4" s="94" t="s">
        <v>300</v>
      </c>
      <c r="AM4" s="94" t="s">
        <v>227</v>
      </c>
      <c r="AN4" s="94" t="s">
        <v>88</v>
      </c>
      <c r="AO4" s="94" t="s">
        <v>228</v>
      </c>
    </row>
    <row r="5" spans="1:41" x14ac:dyDescent="0.25">
      <c r="A5" s="40" t="s">
        <v>68</v>
      </c>
      <c r="B5" s="40">
        <v>2020</v>
      </c>
      <c r="C5" s="40">
        <v>2021</v>
      </c>
      <c r="D5" s="93">
        <f>DATE(BegCalYear,8,1)-WEEKDAY(DATE(BegCalYear,8,1),1)</f>
        <v>46228</v>
      </c>
      <c r="E5" s="60">
        <v>44440</v>
      </c>
      <c r="F5" s="189"/>
      <c r="G5" s="189">
        <v>3</v>
      </c>
      <c r="H5" t="s">
        <v>1</v>
      </c>
      <c r="O5" s="60">
        <f>O4+1</f>
        <v>46206</v>
      </c>
      <c r="P5" s="121">
        <f t="shared" si="6"/>
        <v>6</v>
      </c>
      <c r="Q5" s="189" t="s">
        <v>178</v>
      </c>
      <c r="R5" s="60" t="s">
        <v>178</v>
      </c>
      <c r="S5" s="60" t="s">
        <v>178</v>
      </c>
      <c r="T5" s="60" t="s">
        <v>178</v>
      </c>
      <c r="U5" s="60" t="s">
        <v>178</v>
      </c>
      <c r="V5" s="60">
        <f t="shared" si="7"/>
        <v>46206</v>
      </c>
      <c r="W5" s="121">
        <f t="shared" si="0"/>
        <v>6</v>
      </c>
      <c r="AD5" s="60">
        <f>AD4+1</f>
        <v>46206</v>
      </c>
      <c r="AE5">
        <f t="shared" si="1"/>
        <v>207</v>
      </c>
      <c r="AF5">
        <f t="shared" si="2"/>
        <v>207</v>
      </c>
      <c r="AG5">
        <f t="shared" si="3"/>
        <v>187</v>
      </c>
      <c r="AH5">
        <f t="shared" si="4"/>
        <v>187</v>
      </c>
      <c r="AI5">
        <f t="shared" si="5"/>
        <v>187</v>
      </c>
      <c r="AJ5"/>
      <c r="AK5" s="94" t="s">
        <v>301</v>
      </c>
      <c r="AL5" s="94" t="s">
        <v>302</v>
      </c>
      <c r="AM5" s="94" t="s">
        <v>267</v>
      </c>
      <c r="AN5" s="94" t="s">
        <v>88</v>
      </c>
      <c r="AO5" s="94" t="s">
        <v>510</v>
      </c>
    </row>
    <row r="6" spans="1:41" x14ac:dyDescent="0.25">
      <c r="A6" s="40" t="s">
        <v>69</v>
      </c>
      <c r="B6" s="40">
        <v>2021</v>
      </c>
      <c r="C6" s="40">
        <v>2022</v>
      </c>
      <c r="D6" s="93">
        <f>DATE(BegCalYear,9,1)-WEEKDAY(DATE(BegCalYear,9,1),1)</f>
        <v>46263</v>
      </c>
      <c r="E6" s="60">
        <v>44470</v>
      </c>
      <c r="F6" s="189"/>
      <c r="G6" s="189">
        <v>4</v>
      </c>
      <c r="H6" t="s">
        <v>2</v>
      </c>
      <c r="O6" s="60">
        <f t="shared" ref="O6:O69" si="8">O5+1</f>
        <v>46207</v>
      </c>
      <c r="P6" s="121">
        <f t="shared" si="6"/>
        <v>7</v>
      </c>
      <c r="Q6" s="189" t="s">
        <v>190</v>
      </c>
      <c r="R6" s="60" t="s">
        <v>190</v>
      </c>
      <c r="S6" s="60" t="s">
        <v>190</v>
      </c>
      <c r="T6" s="60" t="s">
        <v>190</v>
      </c>
      <c r="U6" s="60" t="s">
        <v>190</v>
      </c>
      <c r="V6" s="60">
        <f t="shared" si="7"/>
        <v>46207</v>
      </c>
      <c r="W6" s="121">
        <f t="shared" si="0"/>
        <v>7</v>
      </c>
      <c r="AD6" s="60">
        <f t="shared" ref="AD6:AD69" si="9">AD5+1</f>
        <v>46207</v>
      </c>
      <c r="AE6">
        <f t="shared" si="1"/>
        <v>207</v>
      </c>
      <c r="AF6">
        <f t="shared" si="2"/>
        <v>207</v>
      </c>
      <c r="AG6">
        <f t="shared" si="3"/>
        <v>187</v>
      </c>
      <c r="AH6">
        <f t="shared" si="4"/>
        <v>187</v>
      </c>
      <c r="AI6">
        <f t="shared" si="5"/>
        <v>187</v>
      </c>
      <c r="AJ6"/>
      <c r="AK6" s="94" t="s">
        <v>303</v>
      </c>
      <c r="AL6" s="94" t="s">
        <v>304</v>
      </c>
      <c r="AM6" s="94" t="s">
        <v>90</v>
      </c>
      <c r="AN6" s="94" t="s">
        <v>88</v>
      </c>
      <c r="AO6" s="94" t="s">
        <v>509</v>
      </c>
    </row>
    <row r="7" spans="1:41" x14ac:dyDescent="0.25">
      <c r="A7" s="40" t="s">
        <v>70</v>
      </c>
      <c r="B7" s="40">
        <v>2022</v>
      </c>
      <c r="C7" s="40">
        <v>2023</v>
      </c>
      <c r="D7" s="93">
        <f>DATE(BegCalYear,10,1)-WEEKDAY(DATE(BegCalYear,10,1),1)</f>
        <v>46291</v>
      </c>
      <c r="E7" s="60">
        <v>44501</v>
      </c>
      <c r="F7" s="189"/>
      <c r="G7" s="189">
        <v>5</v>
      </c>
      <c r="H7" t="s">
        <v>305</v>
      </c>
      <c r="O7" s="60">
        <f t="shared" si="8"/>
        <v>46208</v>
      </c>
      <c r="P7" s="121">
        <f t="shared" si="6"/>
        <v>1</v>
      </c>
      <c r="Q7" s="189" t="s">
        <v>178</v>
      </c>
      <c r="R7" s="60" t="s">
        <v>178</v>
      </c>
      <c r="S7" s="60" t="s">
        <v>178</v>
      </c>
      <c r="T7" s="60" t="s">
        <v>178</v>
      </c>
      <c r="U7" s="60" t="s">
        <v>178</v>
      </c>
      <c r="V7" s="60">
        <f t="shared" si="7"/>
        <v>46208</v>
      </c>
      <c r="W7" s="121">
        <f t="shared" si="0"/>
        <v>1</v>
      </c>
      <c r="AD7" s="60">
        <f t="shared" si="9"/>
        <v>46208</v>
      </c>
      <c r="AE7">
        <f t="shared" si="1"/>
        <v>207</v>
      </c>
      <c r="AF7">
        <f t="shared" si="2"/>
        <v>207</v>
      </c>
      <c r="AG7">
        <f t="shared" si="3"/>
        <v>187</v>
      </c>
      <c r="AH7">
        <f t="shared" si="4"/>
        <v>187</v>
      </c>
      <c r="AI7">
        <f t="shared" si="5"/>
        <v>187</v>
      </c>
      <c r="AJ7"/>
      <c r="AK7" s="94" t="s">
        <v>306</v>
      </c>
      <c r="AL7" s="94" t="s">
        <v>307</v>
      </c>
      <c r="AM7" s="94" t="s">
        <v>235</v>
      </c>
      <c r="AN7" s="94" t="s">
        <v>97</v>
      </c>
      <c r="AO7" s="94" t="s">
        <v>236</v>
      </c>
    </row>
    <row r="8" spans="1:41" x14ac:dyDescent="0.25">
      <c r="A8" s="40" t="s">
        <v>71</v>
      </c>
      <c r="B8" s="40">
        <v>2023</v>
      </c>
      <c r="C8" s="40">
        <v>2024</v>
      </c>
      <c r="D8" s="93">
        <f>DATE(BegCalYear,11,1)-WEEKDAY(DATE(BegCalYear,11,1),1)</f>
        <v>46326</v>
      </c>
      <c r="E8" s="60">
        <v>44531</v>
      </c>
      <c r="F8" s="189"/>
      <c r="G8" s="189">
        <v>6</v>
      </c>
      <c r="H8" t="s">
        <v>4</v>
      </c>
      <c r="O8" s="60">
        <f t="shared" si="8"/>
        <v>46209</v>
      </c>
      <c r="P8" s="121">
        <f t="shared" si="6"/>
        <v>2</v>
      </c>
      <c r="Q8" s="189" t="s">
        <v>178</v>
      </c>
      <c r="R8" s="60" t="s">
        <v>178</v>
      </c>
      <c r="S8" s="60" t="s">
        <v>178</v>
      </c>
      <c r="T8" s="60" t="s">
        <v>178</v>
      </c>
      <c r="U8" s="60" t="s">
        <v>178</v>
      </c>
      <c r="V8" s="60">
        <f t="shared" si="7"/>
        <v>46209</v>
      </c>
      <c r="W8" s="121">
        <f t="shared" si="0"/>
        <v>2</v>
      </c>
      <c r="AD8" s="60">
        <f t="shared" si="9"/>
        <v>46209</v>
      </c>
      <c r="AE8">
        <f t="shared" si="1"/>
        <v>207</v>
      </c>
      <c r="AF8">
        <f t="shared" si="2"/>
        <v>207</v>
      </c>
      <c r="AG8">
        <f t="shared" si="3"/>
        <v>187</v>
      </c>
      <c r="AH8">
        <f t="shared" si="4"/>
        <v>187</v>
      </c>
      <c r="AI8">
        <f t="shared" si="5"/>
        <v>187</v>
      </c>
      <c r="AJ8"/>
      <c r="AK8" s="94" t="s">
        <v>308</v>
      </c>
      <c r="AL8" s="94" t="s">
        <v>309</v>
      </c>
      <c r="AM8" s="94" t="s">
        <v>229</v>
      </c>
      <c r="AN8" s="94" t="s">
        <v>88</v>
      </c>
    </row>
    <row r="9" spans="1:41" x14ac:dyDescent="0.25">
      <c r="A9" s="40" t="s">
        <v>72</v>
      </c>
      <c r="B9" s="40">
        <v>2024</v>
      </c>
      <c r="C9" s="40">
        <v>2025</v>
      </c>
      <c r="D9" s="93">
        <f>DATE(BegCalYear,12,1)-WEEKDAY(DATE(BegCalYear,12,1),1)</f>
        <v>46354</v>
      </c>
      <c r="E9" s="60">
        <v>44562</v>
      </c>
      <c r="F9" s="189"/>
      <c r="G9" s="189">
        <v>7</v>
      </c>
      <c r="H9" t="s">
        <v>296</v>
      </c>
      <c r="O9" s="60">
        <f t="shared" si="8"/>
        <v>46210</v>
      </c>
      <c r="P9" s="121">
        <f t="shared" si="6"/>
        <v>3</v>
      </c>
      <c r="Q9" s="189" t="s">
        <v>178</v>
      </c>
      <c r="R9" s="60" t="s">
        <v>178</v>
      </c>
      <c r="S9" s="60" t="s">
        <v>178</v>
      </c>
      <c r="T9" s="60" t="s">
        <v>178</v>
      </c>
      <c r="U9" s="60" t="s">
        <v>178</v>
      </c>
      <c r="V9" s="60">
        <f t="shared" si="7"/>
        <v>46210</v>
      </c>
      <c r="W9" s="121">
        <f t="shared" si="0"/>
        <v>3</v>
      </c>
      <c r="AD9" s="60">
        <f t="shared" si="9"/>
        <v>46210</v>
      </c>
      <c r="AE9">
        <f t="shared" si="1"/>
        <v>207</v>
      </c>
      <c r="AF9">
        <f t="shared" si="2"/>
        <v>207</v>
      </c>
      <c r="AG9">
        <f t="shared" si="3"/>
        <v>187</v>
      </c>
      <c r="AH9">
        <f t="shared" si="4"/>
        <v>187</v>
      </c>
      <c r="AI9">
        <f t="shared" si="5"/>
        <v>187</v>
      </c>
      <c r="AJ9"/>
      <c r="AK9" s="94" t="s">
        <v>310</v>
      </c>
      <c r="AL9" s="94" t="s">
        <v>311</v>
      </c>
      <c r="AM9" s="94" t="s">
        <v>230</v>
      </c>
      <c r="AN9" s="94" t="s">
        <v>88</v>
      </c>
    </row>
    <row r="10" spans="1:41" x14ac:dyDescent="0.25">
      <c r="A10" s="40" t="s">
        <v>73</v>
      </c>
      <c r="B10" s="40">
        <v>2025</v>
      </c>
      <c r="C10" s="40">
        <v>2026</v>
      </c>
      <c r="D10" s="93">
        <f>DATE(EndCalYear,1,1)-WEEKDAY(DATE(EndCalYear,1,1),1)</f>
        <v>46382</v>
      </c>
      <c r="E10" s="60">
        <v>44593</v>
      </c>
      <c r="F10" s="189"/>
      <c r="G10" s="189" t="str">
        <f>"."</f>
        <v>.</v>
      </c>
      <c r="H10" t="str">
        <f>"."</f>
        <v>.</v>
      </c>
      <c r="O10" s="60">
        <f t="shared" si="8"/>
        <v>46211</v>
      </c>
      <c r="P10" s="121">
        <f t="shared" si="6"/>
        <v>4</v>
      </c>
      <c r="Q10" s="189" t="s">
        <v>178</v>
      </c>
      <c r="R10" s="60" t="s">
        <v>178</v>
      </c>
      <c r="S10" s="60" t="s">
        <v>178</v>
      </c>
      <c r="T10" s="60" t="s">
        <v>178</v>
      </c>
      <c r="U10" s="60" t="s">
        <v>178</v>
      </c>
      <c r="V10" s="60">
        <f t="shared" si="7"/>
        <v>46211</v>
      </c>
      <c r="W10" s="121">
        <f t="shared" si="0"/>
        <v>4</v>
      </c>
      <c r="AD10" s="60">
        <f t="shared" si="9"/>
        <v>46211</v>
      </c>
      <c r="AE10">
        <f t="shared" si="1"/>
        <v>207</v>
      </c>
      <c r="AF10">
        <f t="shared" si="2"/>
        <v>207</v>
      </c>
      <c r="AG10">
        <f t="shared" si="3"/>
        <v>187</v>
      </c>
      <c r="AH10">
        <f t="shared" si="4"/>
        <v>187</v>
      </c>
      <c r="AI10">
        <f t="shared" si="5"/>
        <v>187</v>
      </c>
      <c r="AJ10"/>
      <c r="AK10" s="94" t="s">
        <v>312</v>
      </c>
      <c r="AL10" s="94" t="s">
        <v>313</v>
      </c>
      <c r="AM10" s="94" t="s">
        <v>231</v>
      </c>
      <c r="AN10" s="94" t="s">
        <v>88</v>
      </c>
    </row>
    <row r="11" spans="1:41" x14ac:dyDescent="0.25">
      <c r="A11" s="40" t="s">
        <v>74</v>
      </c>
      <c r="B11" s="40">
        <v>2026</v>
      </c>
      <c r="C11" s="40">
        <v>2027</v>
      </c>
      <c r="D11" s="93">
        <f>DATE(EndCalYear,2,1)-WEEKDAY(DATE(EndCalYear,2,1),1)</f>
        <v>46417</v>
      </c>
      <c r="E11" s="60">
        <v>44621</v>
      </c>
      <c r="F11" s="189"/>
      <c r="O11" s="60">
        <f t="shared" si="8"/>
        <v>46212</v>
      </c>
      <c r="P11" s="121">
        <f t="shared" si="6"/>
        <v>5</v>
      </c>
      <c r="Q11" s="189" t="s">
        <v>178</v>
      </c>
      <c r="R11" s="60" t="s">
        <v>178</v>
      </c>
      <c r="S11" s="60" t="s">
        <v>178</v>
      </c>
      <c r="T11" s="60" t="s">
        <v>178</v>
      </c>
      <c r="U11" s="60" t="s">
        <v>178</v>
      </c>
      <c r="V11" s="60">
        <f t="shared" si="7"/>
        <v>46212</v>
      </c>
      <c r="W11" s="121">
        <f t="shared" si="0"/>
        <v>5</v>
      </c>
      <c r="AD11" s="60">
        <f t="shared" si="9"/>
        <v>46212</v>
      </c>
      <c r="AE11">
        <f t="shared" si="1"/>
        <v>207</v>
      </c>
      <c r="AF11">
        <f t="shared" si="2"/>
        <v>207</v>
      </c>
      <c r="AG11">
        <f t="shared" si="3"/>
        <v>187</v>
      </c>
      <c r="AH11">
        <f t="shared" si="4"/>
        <v>187</v>
      </c>
      <c r="AI11">
        <f t="shared" si="5"/>
        <v>187</v>
      </c>
      <c r="AJ11"/>
      <c r="AK11" s="94" t="s">
        <v>314</v>
      </c>
      <c r="AL11" s="94" t="s">
        <v>315</v>
      </c>
      <c r="AM11" s="94" t="s">
        <v>232</v>
      </c>
      <c r="AN11" s="94" t="s">
        <v>88</v>
      </c>
    </row>
    <row r="12" spans="1:41" x14ac:dyDescent="0.25">
      <c r="A12" s="40" t="s">
        <v>75</v>
      </c>
      <c r="B12" s="40">
        <v>2027</v>
      </c>
      <c r="C12" s="40">
        <v>2028</v>
      </c>
      <c r="D12" s="93">
        <f>DATE(EndCalYear,3,1)-WEEKDAY(DATE(EndCalYear,3,1),1)</f>
        <v>46445</v>
      </c>
      <c r="E12" s="60">
        <v>44652</v>
      </c>
      <c r="F12" s="189"/>
      <c r="O12" s="60">
        <f t="shared" si="8"/>
        <v>46213</v>
      </c>
      <c r="P12" s="121">
        <f t="shared" si="6"/>
        <v>6</v>
      </c>
      <c r="Q12" s="189" t="s">
        <v>178</v>
      </c>
      <c r="R12" s="60" t="s">
        <v>178</v>
      </c>
      <c r="S12" s="60" t="s">
        <v>178</v>
      </c>
      <c r="T12" s="60" t="s">
        <v>178</v>
      </c>
      <c r="U12" s="60" t="s">
        <v>178</v>
      </c>
      <c r="V12" s="60">
        <f t="shared" si="7"/>
        <v>46213</v>
      </c>
      <c r="W12" s="121">
        <f t="shared" si="0"/>
        <v>6</v>
      </c>
      <c r="AD12" s="60">
        <f t="shared" si="9"/>
        <v>46213</v>
      </c>
      <c r="AE12">
        <f t="shared" si="1"/>
        <v>207</v>
      </c>
      <c r="AF12">
        <f t="shared" si="2"/>
        <v>207</v>
      </c>
      <c r="AG12">
        <f t="shared" si="3"/>
        <v>187</v>
      </c>
      <c r="AH12">
        <f t="shared" si="4"/>
        <v>187</v>
      </c>
      <c r="AI12">
        <f t="shared" si="5"/>
        <v>187</v>
      </c>
      <c r="AJ12"/>
      <c r="AK12" s="94" t="s">
        <v>316</v>
      </c>
      <c r="AL12" s="94" t="s">
        <v>317</v>
      </c>
      <c r="AM12" s="94" t="s">
        <v>233</v>
      </c>
      <c r="AN12" s="94" t="s">
        <v>88</v>
      </c>
    </row>
    <row r="13" spans="1:41" x14ac:dyDescent="0.25">
      <c r="A13" s="40" t="s">
        <v>76</v>
      </c>
      <c r="B13" s="40">
        <v>2028</v>
      </c>
      <c r="C13" s="40">
        <v>2029</v>
      </c>
      <c r="D13" s="93">
        <f>DATE(EndCalYear,4,1)-WEEKDAY(DATE(EndCalYear,4,1),1)</f>
        <v>46473</v>
      </c>
      <c r="E13" s="60">
        <v>44682</v>
      </c>
      <c r="F13" s="189"/>
      <c r="O13" s="60">
        <f t="shared" si="8"/>
        <v>46214</v>
      </c>
      <c r="P13" s="121">
        <f t="shared" si="6"/>
        <v>7</v>
      </c>
      <c r="Q13" s="189" t="s">
        <v>178</v>
      </c>
      <c r="R13" s="60" t="s">
        <v>178</v>
      </c>
      <c r="S13" s="60" t="s">
        <v>178</v>
      </c>
      <c r="T13" s="60" t="s">
        <v>178</v>
      </c>
      <c r="U13" s="60" t="s">
        <v>178</v>
      </c>
      <c r="V13" s="60">
        <f t="shared" si="7"/>
        <v>46214</v>
      </c>
      <c r="W13" s="121">
        <f t="shared" si="0"/>
        <v>7</v>
      </c>
      <c r="AD13" s="60">
        <f t="shared" si="9"/>
        <v>46214</v>
      </c>
      <c r="AE13">
        <f t="shared" si="1"/>
        <v>207</v>
      </c>
      <c r="AF13">
        <f t="shared" si="2"/>
        <v>207</v>
      </c>
      <c r="AG13">
        <f t="shared" si="3"/>
        <v>187</v>
      </c>
      <c r="AH13">
        <f t="shared" si="4"/>
        <v>187</v>
      </c>
      <c r="AI13">
        <f t="shared" si="5"/>
        <v>187</v>
      </c>
      <c r="AJ13"/>
      <c r="AK13" s="94" t="s">
        <v>318</v>
      </c>
      <c r="AL13" s="94" t="s">
        <v>319</v>
      </c>
      <c r="AM13" s="94" t="s">
        <v>234</v>
      </c>
      <c r="AN13" s="94" t="s">
        <v>88</v>
      </c>
    </row>
    <row r="14" spans="1:41" x14ac:dyDescent="0.25">
      <c r="A14" s="40" t="s">
        <v>77</v>
      </c>
      <c r="B14" s="40">
        <v>2029</v>
      </c>
      <c r="C14" s="40">
        <v>2030</v>
      </c>
      <c r="D14" s="93">
        <f>DATE(EndCalYear,5,1)-WEEKDAY(DATE(EndCalYear,5,1),1)</f>
        <v>46501</v>
      </c>
      <c r="E14" s="60">
        <v>44713</v>
      </c>
      <c r="F14" s="189"/>
      <c r="O14" s="60">
        <f t="shared" si="8"/>
        <v>46215</v>
      </c>
      <c r="P14" s="121">
        <f t="shared" si="6"/>
        <v>1</v>
      </c>
      <c r="Q14" s="189" t="s">
        <v>178</v>
      </c>
      <c r="R14" s="60" t="s">
        <v>178</v>
      </c>
      <c r="S14" s="60" t="s">
        <v>178</v>
      </c>
      <c r="T14" s="60" t="s">
        <v>178</v>
      </c>
      <c r="U14" s="60" t="s">
        <v>178</v>
      </c>
      <c r="V14" s="60">
        <f t="shared" si="7"/>
        <v>46215</v>
      </c>
      <c r="W14" s="121">
        <f t="shared" si="0"/>
        <v>1</v>
      </c>
      <c r="AD14" s="60">
        <f t="shared" si="9"/>
        <v>46215</v>
      </c>
      <c r="AE14">
        <f t="shared" si="1"/>
        <v>207</v>
      </c>
      <c r="AF14">
        <f t="shared" si="2"/>
        <v>207</v>
      </c>
      <c r="AG14">
        <f t="shared" si="3"/>
        <v>187</v>
      </c>
      <c r="AH14">
        <f t="shared" si="4"/>
        <v>187</v>
      </c>
      <c r="AI14">
        <f t="shared" si="5"/>
        <v>187</v>
      </c>
      <c r="AJ14"/>
      <c r="AK14" s="94" t="s">
        <v>320</v>
      </c>
      <c r="AL14" s="94" t="s">
        <v>321</v>
      </c>
      <c r="AM14" s="94" t="s">
        <v>322</v>
      </c>
      <c r="AN14" s="94" t="s">
        <v>97</v>
      </c>
      <c r="AO14" s="94" t="s">
        <v>511</v>
      </c>
    </row>
    <row r="15" spans="1:41" x14ac:dyDescent="0.25">
      <c r="A15" s="40" t="s">
        <v>82</v>
      </c>
      <c r="B15" s="40">
        <v>2030</v>
      </c>
      <c r="C15" s="40">
        <v>2031</v>
      </c>
      <c r="D15" s="93">
        <f>DATE(EndCalYear,6,1)-WEEKDAY(DATE(EndCalYear,6,1),1)</f>
        <v>46536</v>
      </c>
      <c r="E15" s="60">
        <v>44743</v>
      </c>
      <c r="F15" s="189"/>
      <c r="O15" s="60">
        <f t="shared" si="8"/>
        <v>46216</v>
      </c>
      <c r="P15" s="121">
        <f t="shared" si="6"/>
        <v>2</v>
      </c>
      <c r="Q15" s="189" t="s">
        <v>178</v>
      </c>
      <c r="R15" s="60" t="s">
        <v>178</v>
      </c>
      <c r="S15" s="60" t="s">
        <v>178</v>
      </c>
      <c r="T15" s="60" t="s">
        <v>178</v>
      </c>
      <c r="U15" s="60" t="s">
        <v>178</v>
      </c>
      <c r="V15" s="60">
        <f t="shared" si="7"/>
        <v>46216</v>
      </c>
      <c r="W15" s="121">
        <f t="shared" si="0"/>
        <v>2</v>
      </c>
      <c r="AD15" s="60">
        <f t="shared" si="9"/>
        <v>46216</v>
      </c>
      <c r="AE15">
        <f t="shared" si="1"/>
        <v>207</v>
      </c>
      <c r="AF15">
        <f t="shared" si="2"/>
        <v>207</v>
      </c>
      <c r="AG15">
        <f t="shared" si="3"/>
        <v>187</v>
      </c>
      <c r="AH15">
        <f t="shared" si="4"/>
        <v>187</v>
      </c>
      <c r="AI15">
        <f t="shared" si="5"/>
        <v>187</v>
      </c>
      <c r="AJ15"/>
      <c r="AK15" s="94" t="s">
        <v>323</v>
      </c>
      <c r="AL15" s="94" t="s">
        <v>324</v>
      </c>
      <c r="AM15" s="94" t="s">
        <v>91</v>
      </c>
      <c r="AN15" s="94" t="s">
        <v>88</v>
      </c>
      <c r="AO15" s="94" t="s">
        <v>237</v>
      </c>
    </row>
    <row r="16" spans="1:41" x14ac:dyDescent="0.25">
      <c r="D16" s="93">
        <f>DATE(EndCalYear,7,1)-WEEKDAY(DATE(EndCalYear,7,1),1)</f>
        <v>46564</v>
      </c>
      <c r="O16" s="60">
        <f t="shared" si="8"/>
        <v>46217</v>
      </c>
      <c r="P16" s="121">
        <f t="shared" si="6"/>
        <v>3</v>
      </c>
      <c r="Q16" s="189" t="s">
        <v>178</v>
      </c>
      <c r="R16" s="60" t="s">
        <v>178</v>
      </c>
      <c r="S16" s="60" t="s">
        <v>178</v>
      </c>
      <c r="T16" s="60" t="s">
        <v>178</v>
      </c>
      <c r="U16" s="60" t="s">
        <v>178</v>
      </c>
      <c r="V16" s="60">
        <f t="shared" si="7"/>
        <v>46217</v>
      </c>
      <c r="W16" s="121">
        <f t="shared" si="0"/>
        <v>3</v>
      </c>
      <c r="AD16" s="60">
        <f t="shared" si="9"/>
        <v>46217</v>
      </c>
      <c r="AE16">
        <f t="shared" si="1"/>
        <v>207</v>
      </c>
      <c r="AF16">
        <f t="shared" si="2"/>
        <v>207</v>
      </c>
      <c r="AG16">
        <f t="shared" si="3"/>
        <v>187</v>
      </c>
      <c r="AH16">
        <f t="shared" si="4"/>
        <v>187</v>
      </c>
      <c r="AI16">
        <f t="shared" si="5"/>
        <v>187</v>
      </c>
      <c r="AJ16"/>
      <c r="AK16" s="94" t="s">
        <v>325</v>
      </c>
      <c r="AL16" s="94" t="s">
        <v>326</v>
      </c>
      <c r="AM16" s="94" t="s">
        <v>327</v>
      </c>
      <c r="AN16" s="94" t="s">
        <v>88</v>
      </c>
      <c r="AO16" s="94" t="s">
        <v>239</v>
      </c>
    </row>
    <row r="17" spans="15:41" x14ac:dyDescent="0.25">
      <c r="O17" s="60">
        <f t="shared" si="8"/>
        <v>46218</v>
      </c>
      <c r="P17" s="121">
        <f t="shared" si="6"/>
        <v>4</v>
      </c>
      <c r="Q17" s="189" t="s">
        <v>178</v>
      </c>
      <c r="R17" s="60" t="s">
        <v>178</v>
      </c>
      <c r="S17" s="60" t="s">
        <v>178</v>
      </c>
      <c r="T17" s="60" t="s">
        <v>178</v>
      </c>
      <c r="U17" s="60" t="s">
        <v>178</v>
      </c>
      <c r="V17" s="60">
        <f t="shared" si="7"/>
        <v>46218</v>
      </c>
      <c r="W17" s="121">
        <f t="shared" si="0"/>
        <v>4</v>
      </c>
      <c r="AD17" s="60">
        <f t="shared" si="9"/>
        <v>46218</v>
      </c>
      <c r="AE17">
        <f t="shared" si="1"/>
        <v>207</v>
      </c>
      <c r="AF17">
        <f t="shared" si="2"/>
        <v>207</v>
      </c>
      <c r="AG17">
        <f t="shared" si="3"/>
        <v>187</v>
      </c>
      <c r="AH17">
        <f t="shared" si="4"/>
        <v>187</v>
      </c>
      <c r="AI17">
        <f t="shared" si="5"/>
        <v>187</v>
      </c>
      <c r="AJ17"/>
      <c r="AK17" s="94" t="s">
        <v>328</v>
      </c>
      <c r="AL17" s="94" t="s">
        <v>329</v>
      </c>
      <c r="AM17" s="94" t="s">
        <v>238</v>
      </c>
      <c r="AN17" s="94" t="s">
        <v>88</v>
      </c>
      <c r="AO17" s="94" t="s">
        <v>239</v>
      </c>
    </row>
    <row r="18" spans="15:41" x14ac:dyDescent="0.25">
      <c r="O18" s="60">
        <f t="shared" si="8"/>
        <v>46219</v>
      </c>
      <c r="P18" s="121">
        <f t="shared" si="6"/>
        <v>5</v>
      </c>
      <c r="Q18" s="189" t="s">
        <v>178</v>
      </c>
      <c r="R18" s="60" t="s">
        <v>178</v>
      </c>
      <c r="S18" s="60" t="s">
        <v>178</v>
      </c>
      <c r="T18" s="60" t="s">
        <v>178</v>
      </c>
      <c r="U18" s="60" t="s">
        <v>178</v>
      </c>
      <c r="V18" s="60">
        <f t="shared" si="7"/>
        <v>46219</v>
      </c>
      <c r="W18" s="121">
        <f t="shared" si="0"/>
        <v>5</v>
      </c>
      <c r="AD18" s="60">
        <f t="shared" si="9"/>
        <v>46219</v>
      </c>
      <c r="AE18">
        <f t="shared" si="1"/>
        <v>207</v>
      </c>
      <c r="AF18">
        <f t="shared" si="2"/>
        <v>207</v>
      </c>
      <c r="AG18">
        <f t="shared" si="3"/>
        <v>187</v>
      </c>
      <c r="AH18">
        <f t="shared" si="4"/>
        <v>187</v>
      </c>
      <c r="AI18">
        <f t="shared" si="5"/>
        <v>187</v>
      </c>
      <c r="AJ18"/>
      <c r="AK18" s="94" t="s">
        <v>330</v>
      </c>
      <c r="AL18" s="94" t="s">
        <v>331</v>
      </c>
      <c r="AM18" s="94" t="s">
        <v>128</v>
      </c>
      <c r="AN18" s="94" t="s">
        <v>97</v>
      </c>
      <c r="AO18" s="94" t="s">
        <v>512</v>
      </c>
    </row>
    <row r="19" spans="15:41" x14ac:dyDescent="0.25">
      <c r="O19" s="60">
        <f t="shared" si="8"/>
        <v>46220</v>
      </c>
      <c r="P19" s="121">
        <f t="shared" si="6"/>
        <v>6</v>
      </c>
      <c r="Q19" s="189" t="s">
        <v>178</v>
      </c>
      <c r="R19" s="60" t="s">
        <v>178</v>
      </c>
      <c r="S19" s="60" t="s">
        <v>178</v>
      </c>
      <c r="T19" s="60" t="s">
        <v>178</v>
      </c>
      <c r="U19" s="60" t="s">
        <v>178</v>
      </c>
      <c r="V19" s="60">
        <f t="shared" si="7"/>
        <v>46220</v>
      </c>
      <c r="W19" s="121">
        <f t="shared" si="0"/>
        <v>6</v>
      </c>
      <c r="AD19" s="60">
        <f t="shared" si="9"/>
        <v>46220</v>
      </c>
      <c r="AE19">
        <f t="shared" si="1"/>
        <v>207</v>
      </c>
      <c r="AF19">
        <f t="shared" si="2"/>
        <v>207</v>
      </c>
      <c r="AG19">
        <f t="shared" si="3"/>
        <v>187</v>
      </c>
      <c r="AH19">
        <f t="shared" si="4"/>
        <v>187</v>
      </c>
      <c r="AI19">
        <f t="shared" si="5"/>
        <v>187</v>
      </c>
      <c r="AJ19"/>
      <c r="AK19" s="94" t="s">
        <v>332</v>
      </c>
      <c r="AL19" s="94" t="s">
        <v>145</v>
      </c>
      <c r="AM19" s="94" t="s">
        <v>145</v>
      </c>
      <c r="AN19" s="94" t="s">
        <v>144</v>
      </c>
      <c r="AO19" s="94" t="s">
        <v>169</v>
      </c>
    </row>
    <row r="20" spans="15:41" x14ac:dyDescent="0.25">
      <c r="O20" s="60">
        <f t="shared" si="8"/>
        <v>46221</v>
      </c>
      <c r="P20" s="121">
        <f t="shared" si="6"/>
        <v>7</v>
      </c>
      <c r="Q20" s="189" t="s">
        <v>178</v>
      </c>
      <c r="R20" s="60" t="s">
        <v>178</v>
      </c>
      <c r="S20" s="60" t="s">
        <v>178</v>
      </c>
      <c r="T20" s="60" t="s">
        <v>178</v>
      </c>
      <c r="U20" s="60" t="s">
        <v>178</v>
      </c>
      <c r="V20" s="60">
        <f t="shared" si="7"/>
        <v>46221</v>
      </c>
      <c r="W20" s="121">
        <f t="shared" si="0"/>
        <v>7</v>
      </c>
      <c r="AD20" s="60">
        <f t="shared" si="9"/>
        <v>46221</v>
      </c>
      <c r="AE20">
        <f t="shared" si="1"/>
        <v>207</v>
      </c>
      <c r="AF20">
        <f t="shared" si="2"/>
        <v>207</v>
      </c>
      <c r="AG20">
        <f t="shared" si="3"/>
        <v>187</v>
      </c>
      <c r="AH20">
        <f t="shared" si="4"/>
        <v>187</v>
      </c>
      <c r="AI20">
        <f t="shared" si="5"/>
        <v>187</v>
      </c>
      <c r="AJ20"/>
      <c r="AK20" s="94" t="s">
        <v>333</v>
      </c>
      <c r="AL20" s="94" t="s">
        <v>334</v>
      </c>
      <c r="AM20" s="94" t="s">
        <v>106</v>
      </c>
      <c r="AN20" s="94" t="s">
        <v>97</v>
      </c>
      <c r="AO20" s="94" t="s">
        <v>240</v>
      </c>
    </row>
    <row r="21" spans="15:41" x14ac:dyDescent="0.25">
      <c r="O21" s="60">
        <f t="shared" si="8"/>
        <v>46222</v>
      </c>
      <c r="P21" s="121">
        <f t="shared" si="6"/>
        <v>1</v>
      </c>
      <c r="Q21" s="189" t="s">
        <v>178</v>
      </c>
      <c r="R21" s="60" t="s">
        <v>178</v>
      </c>
      <c r="S21" s="60" t="s">
        <v>178</v>
      </c>
      <c r="T21" s="60" t="s">
        <v>178</v>
      </c>
      <c r="U21" s="60" t="s">
        <v>178</v>
      </c>
      <c r="V21" s="60">
        <f t="shared" si="7"/>
        <v>46222</v>
      </c>
      <c r="W21" s="121">
        <f t="shared" si="0"/>
        <v>1</v>
      </c>
      <c r="AD21" s="60">
        <f t="shared" si="9"/>
        <v>46222</v>
      </c>
      <c r="AE21">
        <f t="shared" si="1"/>
        <v>207</v>
      </c>
      <c r="AF21">
        <f t="shared" si="2"/>
        <v>207</v>
      </c>
      <c r="AG21">
        <f t="shared" si="3"/>
        <v>187</v>
      </c>
      <c r="AH21">
        <f t="shared" si="4"/>
        <v>187</v>
      </c>
      <c r="AI21">
        <f t="shared" si="5"/>
        <v>187</v>
      </c>
      <c r="AJ21"/>
      <c r="AK21" s="94" t="s">
        <v>335</v>
      </c>
      <c r="AL21" s="94" t="s">
        <v>336</v>
      </c>
      <c r="AM21" s="94" t="s">
        <v>96</v>
      </c>
      <c r="AN21" s="94" t="s">
        <v>97</v>
      </c>
      <c r="AO21" s="94" t="s">
        <v>241</v>
      </c>
    </row>
    <row r="22" spans="15:41" x14ac:dyDescent="0.25">
      <c r="O22" s="60">
        <f t="shared" si="8"/>
        <v>46223</v>
      </c>
      <c r="P22" s="121">
        <f t="shared" si="6"/>
        <v>2</v>
      </c>
      <c r="Q22" s="189" t="s">
        <v>178</v>
      </c>
      <c r="R22" s="60" t="s">
        <v>178</v>
      </c>
      <c r="S22" s="60" t="s">
        <v>178</v>
      </c>
      <c r="T22" s="60" t="s">
        <v>178</v>
      </c>
      <c r="U22" s="60" t="s">
        <v>178</v>
      </c>
      <c r="V22" s="60">
        <f t="shared" si="7"/>
        <v>46223</v>
      </c>
      <c r="W22" s="121">
        <f t="shared" si="0"/>
        <v>2</v>
      </c>
      <c r="AD22" s="60">
        <f t="shared" si="9"/>
        <v>46223</v>
      </c>
      <c r="AE22">
        <f t="shared" si="1"/>
        <v>207</v>
      </c>
      <c r="AF22">
        <f t="shared" si="2"/>
        <v>207</v>
      </c>
      <c r="AG22">
        <f t="shared" si="3"/>
        <v>187</v>
      </c>
      <c r="AH22">
        <f t="shared" si="4"/>
        <v>187</v>
      </c>
      <c r="AI22">
        <f t="shared" si="5"/>
        <v>187</v>
      </c>
      <c r="AJ22"/>
      <c r="AK22" s="94" t="s">
        <v>337</v>
      </c>
      <c r="AL22" s="94" t="s">
        <v>338</v>
      </c>
      <c r="AM22" s="94" t="s">
        <v>242</v>
      </c>
      <c r="AN22" s="94" t="s">
        <v>88</v>
      </c>
    </row>
    <row r="23" spans="15:41" x14ac:dyDescent="0.25">
      <c r="O23" s="60">
        <f t="shared" si="8"/>
        <v>46224</v>
      </c>
      <c r="P23" s="121">
        <f t="shared" si="6"/>
        <v>3</v>
      </c>
      <c r="Q23" s="189" t="s">
        <v>178</v>
      </c>
      <c r="R23" s="60" t="s">
        <v>178</v>
      </c>
      <c r="S23" s="60" t="s">
        <v>178</v>
      </c>
      <c r="T23" s="60" t="s">
        <v>178</v>
      </c>
      <c r="U23" s="60" t="s">
        <v>178</v>
      </c>
      <c r="V23" s="60">
        <f t="shared" si="7"/>
        <v>46224</v>
      </c>
      <c r="W23" s="121">
        <f t="shared" si="0"/>
        <v>3</v>
      </c>
      <c r="AD23" s="60">
        <f t="shared" si="9"/>
        <v>46224</v>
      </c>
      <c r="AE23">
        <f t="shared" si="1"/>
        <v>207</v>
      </c>
      <c r="AF23">
        <f t="shared" si="2"/>
        <v>207</v>
      </c>
      <c r="AG23">
        <f t="shared" si="3"/>
        <v>187</v>
      </c>
      <c r="AH23">
        <f t="shared" si="4"/>
        <v>187</v>
      </c>
      <c r="AI23">
        <f t="shared" si="5"/>
        <v>187</v>
      </c>
      <c r="AJ23"/>
      <c r="AK23" s="94" t="s">
        <v>339</v>
      </c>
      <c r="AL23" s="94" t="s">
        <v>340</v>
      </c>
      <c r="AM23" s="94" t="s">
        <v>131</v>
      </c>
      <c r="AN23" s="94" t="s">
        <v>97</v>
      </c>
      <c r="AO23" s="94" t="s">
        <v>513</v>
      </c>
    </row>
    <row r="24" spans="15:41" x14ac:dyDescent="0.25">
      <c r="O24" s="60">
        <f t="shared" si="8"/>
        <v>46225</v>
      </c>
      <c r="P24" s="121">
        <f t="shared" si="6"/>
        <v>4</v>
      </c>
      <c r="Q24" s="189" t="s">
        <v>178</v>
      </c>
      <c r="R24" s="60" t="s">
        <v>178</v>
      </c>
      <c r="S24" s="60" t="s">
        <v>178</v>
      </c>
      <c r="T24" s="60" t="s">
        <v>178</v>
      </c>
      <c r="U24" s="60" t="s">
        <v>178</v>
      </c>
      <c r="V24" s="60">
        <f t="shared" si="7"/>
        <v>46225</v>
      </c>
      <c r="W24" s="121">
        <f t="shared" si="0"/>
        <v>4</v>
      </c>
      <c r="AD24" s="60">
        <f t="shared" si="9"/>
        <v>46225</v>
      </c>
      <c r="AE24">
        <f t="shared" si="1"/>
        <v>207</v>
      </c>
      <c r="AF24">
        <f t="shared" si="2"/>
        <v>207</v>
      </c>
      <c r="AG24">
        <f t="shared" si="3"/>
        <v>187</v>
      </c>
      <c r="AH24">
        <f t="shared" si="4"/>
        <v>187</v>
      </c>
      <c r="AI24">
        <f t="shared" si="5"/>
        <v>187</v>
      </c>
      <c r="AJ24"/>
      <c r="AK24" s="94" t="s">
        <v>341</v>
      </c>
      <c r="AL24" s="94" t="s">
        <v>342</v>
      </c>
      <c r="AM24" s="94" t="s">
        <v>94</v>
      </c>
      <c r="AN24" s="94" t="s">
        <v>88</v>
      </c>
      <c r="AO24" s="94" t="s">
        <v>159</v>
      </c>
    </row>
    <row r="25" spans="15:41" x14ac:dyDescent="0.25">
      <c r="O25" s="60">
        <f t="shared" si="8"/>
        <v>46226</v>
      </c>
      <c r="P25" s="121">
        <f t="shared" si="6"/>
        <v>5</v>
      </c>
      <c r="Q25" s="189" t="s">
        <v>178</v>
      </c>
      <c r="R25" s="60" t="s">
        <v>178</v>
      </c>
      <c r="S25" s="60" t="s">
        <v>178</v>
      </c>
      <c r="T25" s="60" t="s">
        <v>178</v>
      </c>
      <c r="U25" s="60" t="s">
        <v>178</v>
      </c>
      <c r="V25" s="60">
        <f t="shared" si="7"/>
        <v>46226</v>
      </c>
      <c r="W25" s="121">
        <f t="shared" si="0"/>
        <v>5</v>
      </c>
      <c r="AD25" s="60">
        <f t="shared" si="9"/>
        <v>46226</v>
      </c>
      <c r="AE25">
        <f t="shared" si="1"/>
        <v>207</v>
      </c>
      <c r="AF25">
        <f t="shared" si="2"/>
        <v>207</v>
      </c>
      <c r="AG25">
        <f t="shared" si="3"/>
        <v>187</v>
      </c>
      <c r="AH25">
        <f t="shared" si="4"/>
        <v>187</v>
      </c>
      <c r="AI25">
        <f t="shared" si="5"/>
        <v>187</v>
      </c>
      <c r="AJ25"/>
      <c r="AK25" s="94" t="s">
        <v>343</v>
      </c>
      <c r="AL25" s="94" t="s">
        <v>344</v>
      </c>
      <c r="AM25" s="94" t="s">
        <v>243</v>
      </c>
      <c r="AN25" s="94" t="s">
        <v>88</v>
      </c>
      <c r="AO25" s="94" t="s">
        <v>514</v>
      </c>
    </row>
    <row r="26" spans="15:41" x14ac:dyDescent="0.25">
      <c r="O26" s="60">
        <f t="shared" si="8"/>
        <v>46227</v>
      </c>
      <c r="P26" s="121">
        <f t="shared" si="6"/>
        <v>6</v>
      </c>
      <c r="Q26" s="189" t="s">
        <v>190</v>
      </c>
      <c r="R26" s="189" t="s">
        <v>190</v>
      </c>
      <c r="S26" s="60" t="s">
        <v>190</v>
      </c>
      <c r="T26" s="60" t="s">
        <v>190</v>
      </c>
      <c r="U26" s="60" t="s">
        <v>190</v>
      </c>
      <c r="V26" s="60">
        <f t="shared" si="7"/>
        <v>46227</v>
      </c>
      <c r="W26" s="121">
        <f t="shared" si="0"/>
        <v>6</v>
      </c>
      <c r="AD26" s="60">
        <f t="shared" si="9"/>
        <v>46227</v>
      </c>
      <c r="AE26">
        <f t="shared" si="1"/>
        <v>207</v>
      </c>
      <c r="AF26">
        <f t="shared" si="2"/>
        <v>207</v>
      </c>
      <c r="AG26">
        <f t="shared" si="3"/>
        <v>187</v>
      </c>
      <c r="AH26">
        <f t="shared" si="4"/>
        <v>187</v>
      </c>
      <c r="AI26">
        <f t="shared" si="5"/>
        <v>187</v>
      </c>
      <c r="AJ26"/>
      <c r="AK26" s="94" t="s">
        <v>345</v>
      </c>
      <c r="AL26" s="94" t="s">
        <v>346</v>
      </c>
      <c r="AM26" s="94" t="s">
        <v>98</v>
      </c>
      <c r="AN26" s="94" t="s">
        <v>97</v>
      </c>
      <c r="AO26" s="94" t="s">
        <v>244</v>
      </c>
    </row>
    <row r="27" spans="15:41" x14ac:dyDescent="0.25">
      <c r="O27" s="60">
        <f t="shared" si="8"/>
        <v>46228</v>
      </c>
      <c r="P27" s="121">
        <f t="shared" si="6"/>
        <v>7</v>
      </c>
      <c r="Q27" s="189" t="s">
        <v>178</v>
      </c>
      <c r="R27" s="189" t="s">
        <v>178</v>
      </c>
      <c r="S27" s="60" t="s">
        <v>178</v>
      </c>
      <c r="T27" s="60" t="s">
        <v>178</v>
      </c>
      <c r="U27" s="60" t="s">
        <v>178</v>
      </c>
      <c r="V27" s="60">
        <f t="shared" si="7"/>
        <v>46228</v>
      </c>
      <c r="W27" s="121">
        <f t="shared" si="0"/>
        <v>7</v>
      </c>
      <c r="AD27" s="60">
        <f t="shared" si="9"/>
        <v>46228</v>
      </c>
      <c r="AE27">
        <f t="shared" si="1"/>
        <v>207</v>
      </c>
      <c r="AF27">
        <f t="shared" si="2"/>
        <v>207</v>
      </c>
      <c r="AG27">
        <f t="shared" si="3"/>
        <v>187</v>
      </c>
      <c r="AH27">
        <f t="shared" si="4"/>
        <v>187</v>
      </c>
      <c r="AI27">
        <f t="shared" si="5"/>
        <v>187</v>
      </c>
      <c r="AJ27"/>
      <c r="AK27" s="94" t="s">
        <v>347</v>
      </c>
      <c r="AL27" s="94" t="s">
        <v>245</v>
      </c>
      <c r="AM27" s="94" t="s">
        <v>245</v>
      </c>
      <c r="AN27" s="94" t="s">
        <v>88</v>
      </c>
      <c r="AO27" s="94" t="s">
        <v>246</v>
      </c>
    </row>
    <row r="28" spans="15:41" x14ac:dyDescent="0.25">
      <c r="O28" s="60">
        <f t="shared" si="8"/>
        <v>46229</v>
      </c>
      <c r="P28" s="121">
        <f t="shared" si="6"/>
        <v>1</v>
      </c>
      <c r="Q28" s="189" t="str">
        <f t="shared" ref="Q28:R43" si="10">IF(OR($P28=2,$P28=3,$P28=4,$P28=5,$P28=6),1,"")</f>
        <v/>
      </c>
      <c r="R28" s="189" t="str">
        <f t="shared" si="10"/>
        <v/>
      </c>
      <c r="S28" s="60" t="s">
        <v>178</v>
      </c>
      <c r="T28" s="60" t="s">
        <v>178</v>
      </c>
      <c r="U28" s="60" t="s">
        <v>178</v>
      </c>
      <c r="V28" s="60">
        <f t="shared" si="7"/>
        <v>46229</v>
      </c>
      <c r="W28" s="121">
        <f t="shared" si="0"/>
        <v>1</v>
      </c>
      <c r="AD28" s="60">
        <f t="shared" si="9"/>
        <v>46229</v>
      </c>
      <c r="AE28">
        <f t="shared" si="1"/>
        <v>207</v>
      </c>
      <c r="AF28">
        <f t="shared" si="2"/>
        <v>207</v>
      </c>
      <c r="AG28">
        <f t="shared" si="3"/>
        <v>187</v>
      </c>
      <c r="AH28">
        <f t="shared" si="4"/>
        <v>187</v>
      </c>
      <c r="AI28">
        <f t="shared" si="5"/>
        <v>187</v>
      </c>
      <c r="AJ28"/>
      <c r="AK28" s="94" t="s">
        <v>348</v>
      </c>
      <c r="AL28" s="94" t="s">
        <v>349</v>
      </c>
      <c r="AM28" s="94" t="s">
        <v>247</v>
      </c>
      <c r="AN28" s="94" t="s">
        <v>88</v>
      </c>
      <c r="AO28" s="94" t="s">
        <v>515</v>
      </c>
    </row>
    <row r="29" spans="15:41" x14ac:dyDescent="0.25">
      <c r="O29" s="60">
        <f t="shared" si="8"/>
        <v>46230</v>
      </c>
      <c r="P29" s="121">
        <f t="shared" si="6"/>
        <v>2</v>
      </c>
      <c r="Q29" s="189">
        <f t="shared" si="10"/>
        <v>1</v>
      </c>
      <c r="R29" s="189">
        <f t="shared" si="10"/>
        <v>1</v>
      </c>
      <c r="S29" s="60" t="s">
        <v>178</v>
      </c>
      <c r="T29" s="60" t="s">
        <v>178</v>
      </c>
      <c r="U29" s="60" t="s">
        <v>178</v>
      </c>
      <c r="V29" s="60">
        <f t="shared" si="7"/>
        <v>46230</v>
      </c>
      <c r="W29" s="121">
        <f t="shared" si="0"/>
        <v>2</v>
      </c>
      <c r="AD29" s="60">
        <f t="shared" si="9"/>
        <v>46230</v>
      </c>
      <c r="AE29">
        <f t="shared" si="1"/>
        <v>206</v>
      </c>
      <c r="AF29">
        <f t="shared" si="2"/>
        <v>206</v>
      </c>
      <c r="AG29">
        <f t="shared" si="3"/>
        <v>187</v>
      </c>
      <c r="AH29">
        <f t="shared" si="4"/>
        <v>187</v>
      </c>
      <c r="AI29">
        <f t="shared" si="5"/>
        <v>187</v>
      </c>
      <c r="AJ29"/>
      <c r="AK29" s="94" t="s">
        <v>350</v>
      </c>
      <c r="AL29" s="94" t="s">
        <v>351</v>
      </c>
      <c r="AM29" s="94" t="s">
        <v>129</v>
      </c>
      <c r="AN29" s="94" t="s">
        <v>97</v>
      </c>
      <c r="AO29" s="94" t="s">
        <v>516</v>
      </c>
    </row>
    <row r="30" spans="15:41" x14ac:dyDescent="0.25">
      <c r="O30" s="60">
        <f t="shared" si="8"/>
        <v>46231</v>
      </c>
      <c r="P30" s="121">
        <f t="shared" si="6"/>
        <v>3</v>
      </c>
      <c r="Q30" s="189">
        <f t="shared" si="10"/>
        <v>1</v>
      </c>
      <c r="R30" s="189">
        <f t="shared" si="10"/>
        <v>1</v>
      </c>
      <c r="S30" s="60" t="s">
        <v>178</v>
      </c>
      <c r="T30" s="60" t="s">
        <v>178</v>
      </c>
      <c r="U30" s="60" t="s">
        <v>178</v>
      </c>
      <c r="V30" s="60">
        <f t="shared" si="7"/>
        <v>46231</v>
      </c>
      <c r="W30" s="121">
        <f t="shared" si="0"/>
        <v>3</v>
      </c>
      <c r="AD30" s="60">
        <f t="shared" si="9"/>
        <v>46231</v>
      </c>
      <c r="AE30">
        <f t="shared" si="1"/>
        <v>205</v>
      </c>
      <c r="AF30">
        <f t="shared" si="2"/>
        <v>205</v>
      </c>
      <c r="AG30">
        <f t="shared" si="3"/>
        <v>187</v>
      </c>
      <c r="AH30">
        <f t="shared" si="4"/>
        <v>187</v>
      </c>
      <c r="AI30">
        <f t="shared" si="5"/>
        <v>187</v>
      </c>
      <c r="AJ30"/>
      <c r="AK30" s="94" t="s">
        <v>352</v>
      </c>
      <c r="AL30" s="94" t="s">
        <v>353</v>
      </c>
      <c r="AM30" s="94" t="s">
        <v>143</v>
      </c>
      <c r="AN30" s="94" t="s">
        <v>144</v>
      </c>
      <c r="AO30" s="94" t="s">
        <v>168</v>
      </c>
    </row>
    <row r="31" spans="15:41" x14ac:dyDescent="0.25">
      <c r="O31" s="60">
        <f t="shared" si="8"/>
        <v>46232</v>
      </c>
      <c r="P31" s="121">
        <f t="shared" si="6"/>
        <v>4</v>
      </c>
      <c r="Q31" s="189">
        <f t="shared" si="10"/>
        <v>1</v>
      </c>
      <c r="R31" s="189">
        <f t="shared" si="10"/>
        <v>1</v>
      </c>
      <c r="S31" s="60" t="s">
        <v>178</v>
      </c>
      <c r="T31" s="60" t="s">
        <v>178</v>
      </c>
      <c r="U31" s="60" t="s">
        <v>178</v>
      </c>
      <c r="V31" s="60">
        <f t="shared" si="7"/>
        <v>46232</v>
      </c>
      <c r="W31" s="121">
        <f t="shared" si="0"/>
        <v>4</v>
      </c>
      <c r="AD31" s="60">
        <f t="shared" si="9"/>
        <v>46232</v>
      </c>
      <c r="AE31">
        <f t="shared" si="1"/>
        <v>204</v>
      </c>
      <c r="AF31">
        <f t="shared" si="2"/>
        <v>204</v>
      </c>
      <c r="AG31">
        <f t="shared" si="3"/>
        <v>187</v>
      </c>
      <c r="AH31">
        <f t="shared" si="4"/>
        <v>187</v>
      </c>
      <c r="AI31">
        <f t="shared" si="5"/>
        <v>187</v>
      </c>
      <c r="AJ31"/>
      <c r="AK31" s="94" t="s">
        <v>354</v>
      </c>
      <c r="AL31" s="94" t="s">
        <v>355</v>
      </c>
      <c r="AM31" s="94" t="s">
        <v>142</v>
      </c>
      <c r="AN31" s="94" t="s">
        <v>133</v>
      </c>
      <c r="AO31" s="94" t="s">
        <v>167</v>
      </c>
    </row>
    <row r="32" spans="15:41" x14ac:dyDescent="0.25">
      <c r="O32" s="60">
        <f t="shared" si="8"/>
        <v>46233</v>
      </c>
      <c r="P32" s="121">
        <f t="shared" si="6"/>
        <v>5</v>
      </c>
      <c r="Q32" s="189">
        <f t="shared" si="10"/>
        <v>1</v>
      </c>
      <c r="R32" s="189">
        <f t="shared" si="10"/>
        <v>1</v>
      </c>
      <c r="S32" s="60" t="s">
        <v>178</v>
      </c>
      <c r="T32" s="60" t="s">
        <v>178</v>
      </c>
      <c r="U32" s="60" t="s">
        <v>178</v>
      </c>
      <c r="V32" s="60">
        <f t="shared" si="7"/>
        <v>46233</v>
      </c>
      <c r="W32" s="121">
        <f t="shared" si="0"/>
        <v>5</v>
      </c>
      <c r="AD32" s="60">
        <f t="shared" si="9"/>
        <v>46233</v>
      </c>
      <c r="AE32">
        <f t="shared" si="1"/>
        <v>203</v>
      </c>
      <c r="AF32">
        <f t="shared" si="2"/>
        <v>203</v>
      </c>
      <c r="AG32">
        <f t="shared" si="3"/>
        <v>187</v>
      </c>
      <c r="AH32">
        <f t="shared" si="4"/>
        <v>187</v>
      </c>
      <c r="AI32">
        <f t="shared" si="5"/>
        <v>187</v>
      </c>
      <c r="AJ32"/>
      <c r="AK32" s="94" t="s">
        <v>356</v>
      </c>
      <c r="AL32" s="94" t="s">
        <v>357</v>
      </c>
      <c r="AM32" s="94" t="s">
        <v>248</v>
      </c>
      <c r="AN32" s="94" t="s">
        <v>88</v>
      </c>
      <c r="AO32" s="94" t="s">
        <v>249</v>
      </c>
    </row>
    <row r="33" spans="15:41" x14ac:dyDescent="0.25">
      <c r="O33" s="60">
        <f t="shared" si="8"/>
        <v>46234</v>
      </c>
      <c r="P33" s="121">
        <f t="shared" si="6"/>
        <v>6</v>
      </c>
      <c r="Q33" s="189">
        <f t="shared" si="10"/>
        <v>1</v>
      </c>
      <c r="R33" s="189">
        <f t="shared" si="10"/>
        <v>1</v>
      </c>
      <c r="S33" s="60" t="s">
        <v>178</v>
      </c>
      <c r="T33" s="60" t="s">
        <v>178</v>
      </c>
      <c r="U33" s="60" t="s">
        <v>178</v>
      </c>
      <c r="V33" s="60">
        <f t="shared" si="7"/>
        <v>46234</v>
      </c>
      <c r="W33" s="121">
        <f t="shared" si="0"/>
        <v>6</v>
      </c>
      <c r="AD33" s="60">
        <f t="shared" si="9"/>
        <v>46234</v>
      </c>
      <c r="AE33">
        <f t="shared" si="1"/>
        <v>202</v>
      </c>
      <c r="AF33">
        <f t="shared" si="2"/>
        <v>202</v>
      </c>
      <c r="AG33">
        <f t="shared" si="3"/>
        <v>187</v>
      </c>
      <c r="AH33">
        <f t="shared" si="4"/>
        <v>187</v>
      </c>
      <c r="AI33">
        <f t="shared" si="5"/>
        <v>187</v>
      </c>
      <c r="AJ33"/>
      <c r="AK33" s="94" t="s">
        <v>358</v>
      </c>
      <c r="AL33" s="94" t="s">
        <v>359</v>
      </c>
      <c r="AM33" s="94" t="s">
        <v>250</v>
      </c>
      <c r="AN33" s="94" t="s">
        <v>88</v>
      </c>
    </row>
    <row r="34" spans="15:41" x14ac:dyDescent="0.25">
      <c r="O34" s="60">
        <f t="shared" si="8"/>
        <v>46235</v>
      </c>
      <c r="P34" s="121">
        <f t="shared" si="6"/>
        <v>7</v>
      </c>
      <c r="Q34" s="189" t="str">
        <f t="shared" si="10"/>
        <v/>
      </c>
      <c r="R34" s="189" t="str">
        <f t="shared" si="10"/>
        <v/>
      </c>
      <c r="S34" s="60" t="s">
        <v>178</v>
      </c>
      <c r="T34" s="60" t="s">
        <v>178</v>
      </c>
      <c r="U34" s="60" t="s">
        <v>178</v>
      </c>
      <c r="V34" s="60">
        <f t="shared" si="7"/>
        <v>46235</v>
      </c>
      <c r="W34" s="121">
        <f t="shared" si="0"/>
        <v>7</v>
      </c>
      <c r="AD34" s="60">
        <f t="shared" si="9"/>
        <v>46235</v>
      </c>
      <c r="AE34">
        <f t="shared" si="1"/>
        <v>202</v>
      </c>
      <c r="AF34">
        <f t="shared" si="2"/>
        <v>202</v>
      </c>
      <c r="AG34">
        <f t="shared" si="3"/>
        <v>187</v>
      </c>
      <c r="AH34">
        <f t="shared" si="4"/>
        <v>187</v>
      </c>
      <c r="AI34">
        <f t="shared" si="5"/>
        <v>187</v>
      </c>
      <c r="AJ34"/>
      <c r="AK34" s="94" t="s">
        <v>360</v>
      </c>
      <c r="AL34" s="94" t="s">
        <v>361</v>
      </c>
      <c r="AM34" s="94" t="s">
        <v>100</v>
      </c>
      <c r="AN34" s="94" t="s">
        <v>97</v>
      </c>
      <c r="AO34" s="94" t="s">
        <v>517</v>
      </c>
    </row>
    <row r="35" spans="15:41" x14ac:dyDescent="0.25">
      <c r="O35" s="60">
        <f t="shared" si="8"/>
        <v>46236</v>
      </c>
      <c r="P35" s="121">
        <f t="shared" si="6"/>
        <v>1</v>
      </c>
      <c r="Q35" s="189" t="str">
        <f t="shared" si="10"/>
        <v/>
      </c>
      <c r="R35" s="189" t="str">
        <f t="shared" si="10"/>
        <v/>
      </c>
      <c r="S35" s="60" t="s">
        <v>178</v>
      </c>
      <c r="T35" s="60" t="s">
        <v>178</v>
      </c>
      <c r="U35" s="60" t="s">
        <v>178</v>
      </c>
      <c r="V35" s="60">
        <f t="shared" si="7"/>
        <v>46236</v>
      </c>
      <c r="W35" s="121">
        <f t="shared" si="0"/>
        <v>1</v>
      </c>
      <c r="AD35" s="60">
        <f t="shared" si="9"/>
        <v>46236</v>
      </c>
      <c r="AE35">
        <f t="shared" si="1"/>
        <v>202</v>
      </c>
      <c r="AF35">
        <f t="shared" si="2"/>
        <v>202</v>
      </c>
      <c r="AG35">
        <f t="shared" si="3"/>
        <v>187</v>
      </c>
      <c r="AH35">
        <f t="shared" si="4"/>
        <v>187</v>
      </c>
      <c r="AI35">
        <f t="shared" si="5"/>
        <v>187</v>
      </c>
      <c r="AJ35"/>
      <c r="AK35" s="94" t="s">
        <v>362</v>
      </c>
      <c r="AL35" s="94" t="s">
        <v>363</v>
      </c>
      <c r="AM35" s="94" t="s">
        <v>251</v>
      </c>
      <c r="AN35" s="94" t="s">
        <v>88</v>
      </c>
      <c r="AO35" s="94" t="s">
        <v>252</v>
      </c>
    </row>
    <row r="36" spans="15:41" x14ac:dyDescent="0.25">
      <c r="O36" s="60">
        <f t="shared" si="8"/>
        <v>46237</v>
      </c>
      <c r="P36" s="121">
        <f t="shared" si="6"/>
        <v>2</v>
      </c>
      <c r="Q36" s="189">
        <f t="shared" si="10"/>
        <v>1</v>
      </c>
      <c r="R36" s="189">
        <f t="shared" si="10"/>
        <v>1</v>
      </c>
      <c r="S36" s="60" t="s">
        <v>178</v>
      </c>
      <c r="T36" s="60" t="s">
        <v>178</v>
      </c>
      <c r="U36" s="60" t="s">
        <v>178</v>
      </c>
      <c r="V36" s="60">
        <f t="shared" si="7"/>
        <v>46237</v>
      </c>
      <c r="W36" s="121">
        <f t="shared" si="0"/>
        <v>2</v>
      </c>
      <c r="AD36" s="60">
        <f t="shared" si="9"/>
        <v>46237</v>
      </c>
      <c r="AE36">
        <f t="shared" si="1"/>
        <v>201</v>
      </c>
      <c r="AF36">
        <f t="shared" si="2"/>
        <v>201</v>
      </c>
      <c r="AG36">
        <f t="shared" si="3"/>
        <v>187</v>
      </c>
      <c r="AH36">
        <f t="shared" si="4"/>
        <v>187</v>
      </c>
      <c r="AI36">
        <f t="shared" si="5"/>
        <v>187</v>
      </c>
      <c r="AJ36"/>
      <c r="AK36" s="94" t="s">
        <v>364</v>
      </c>
      <c r="AL36" s="94" t="s">
        <v>365</v>
      </c>
      <c r="AM36" s="94" t="s">
        <v>102</v>
      </c>
      <c r="AN36" s="94" t="s">
        <v>97</v>
      </c>
      <c r="AO36" s="94" t="s">
        <v>518</v>
      </c>
    </row>
    <row r="37" spans="15:41" x14ac:dyDescent="0.25">
      <c r="O37" s="60">
        <f t="shared" si="8"/>
        <v>46238</v>
      </c>
      <c r="P37" s="121">
        <f t="shared" si="6"/>
        <v>3</v>
      </c>
      <c r="Q37" s="189">
        <f t="shared" si="10"/>
        <v>1</v>
      </c>
      <c r="R37" s="189">
        <f t="shared" si="10"/>
        <v>1</v>
      </c>
      <c r="S37" s="60" t="s">
        <v>178</v>
      </c>
      <c r="T37" s="60" t="s">
        <v>178</v>
      </c>
      <c r="U37" s="60" t="s">
        <v>178</v>
      </c>
      <c r="V37" s="60">
        <f t="shared" si="7"/>
        <v>46238</v>
      </c>
      <c r="W37" s="121">
        <f t="shared" si="0"/>
        <v>3</v>
      </c>
      <c r="AD37" s="60">
        <f t="shared" si="9"/>
        <v>46238</v>
      </c>
      <c r="AE37">
        <f t="shared" si="1"/>
        <v>200</v>
      </c>
      <c r="AF37">
        <f t="shared" si="2"/>
        <v>200</v>
      </c>
      <c r="AG37">
        <f t="shared" si="3"/>
        <v>187</v>
      </c>
      <c r="AH37">
        <f t="shared" si="4"/>
        <v>187</v>
      </c>
      <c r="AI37">
        <f t="shared" si="5"/>
        <v>187</v>
      </c>
      <c r="AJ37"/>
      <c r="AK37" s="94" t="s">
        <v>366</v>
      </c>
      <c r="AL37" s="94" t="s">
        <v>367</v>
      </c>
      <c r="AM37" s="94" t="s">
        <v>368</v>
      </c>
      <c r="AN37" s="94" t="s">
        <v>88</v>
      </c>
      <c r="AO37" s="94" t="s">
        <v>519</v>
      </c>
    </row>
    <row r="38" spans="15:41" x14ac:dyDescent="0.25">
      <c r="O38" s="60">
        <f t="shared" si="8"/>
        <v>46239</v>
      </c>
      <c r="P38" s="121">
        <f t="shared" si="6"/>
        <v>4</v>
      </c>
      <c r="Q38" s="189">
        <f t="shared" si="10"/>
        <v>1</v>
      </c>
      <c r="R38" s="189">
        <f t="shared" si="10"/>
        <v>1</v>
      </c>
      <c r="S38" s="60" t="s">
        <v>178</v>
      </c>
      <c r="T38" s="60" t="s">
        <v>178</v>
      </c>
      <c r="U38" s="60" t="s">
        <v>178</v>
      </c>
      <c r="V38" s="60">
        <f t="shared" si="7"/>
        <v>46239</v>
      </c>
      <c r="W38" s="121">
        <f t="shared" si="0"/>
        <v>4</v>
      </c>
      <c r="AD38" s="60">
        <f t="shared" si="9"/>
        <v>46239</v>
      </c>
      <c r="AE38">
        <f t="shared" si="1"/>
        <v>199</v>
      </c>
      <c r="AF38">
        <f t="shared" si="2"/>
        <v>199</v>
      </c>
      <c r="AG38">
        <f t="shared" si="3"/>
        <v>187</v>
      </c>
      <c r="AH38">
        <f t="shared" si="4"/>
        <v>187</v>
      </c>
      <c r="AI38">
        <f t="shared" si="5"/>
        <v>187</v>
      </c>
      <c r="AJ38"/>
      <c r="AK38" s="94" t="s">
        <v>369</v>
      </c>
      <c r="AL38" s="94" t="s">
        <v>370</v>
      </c>
      <c r="AM38" s="94" t="s">
        <v>105</v>
      </c>
      <c r="AN38" s="94" t="s">
        <v>97</v>
      </c>
      <c r="AO38" s="94" t="s">
        <v>520</v>
      </c>
    </row>
    <row r="39" spans="15:41" x14ac:dyDescent="0.25">
      <c r="O39" s="60">
        <f t="shared" si="8"/>
        <v>46240</v>
      </c>
      <c r="P39" s="121">
        <f t="shared" si="6"/>
        <v>5</v>
      </c>
      <c r="Q39" s="189">
        <f t="shared" si="10"/>
        <v>1</v>
      </c>
      <c r="R39" s="189">
        <f t="shared" si="10"/>
        <v>1</v>
      </c>
      <c r="S39" s="60" t="s">
        <v>178</v>
      </c>
      <c r="T39" s="60" t="s">
        <v>178</v>
      </c>
      <c r="U39" s="60" t="s">
        <v>178</v>
      </c>
      <c r="V39" s="60">
        <f t="shared" si="7"/>
        <v>46240</v>
      </c>
      <c r="W39" s="121">
        <f t="shared" si="0"/>
        <v>5</v>
      </c>
      <c r="AD39" s="60">
        <f t="shared" si="9"/>
        <v>46240</v>
      </c>
      <c r="AE39">
        <f t="shared" si="1"/>
        <v>198</v>
      </c>
      <c r="AF39">
        <f t="shared" si="2"/>
        <v>198</v>
      </c>
      <c r="AG39">
        <f t="shared" si="3"/>
        <v>187</v>
      </c>
      <c r="AH39">
        <f t="shared" si="4"/>
        <v>187</v>
      </c>
      <c r="AI39">
        <f t="shared" si="5"/>
        <v>187</v>
      </c>
      <c r="AJ39"/>
      <c r="AK39" s="94" t="s">
        <v>371</v>
      </c>
      <c r="AL39" s="94" t="s">
        <v>372</v>
      </c>
      <c r="AM39" s="94" t="s">
        <v>137</v>
      </c>
      <c r="AN39" s="94" t="s">
        <v>133</v>
      </c>
      <c r="AO39" s="94" t="s">
        <v>164</v>
      </c>
    </row>
    <row r="40" spans="15:41" x14ac:dyDescent="0.25">
      <c r="O40" s="60">
        <f t="shared" si="8"/>
        <v>46241</v>
      </c>
      <c r="P40" s="121">
        <f t="shared" si="6"/>
        <v>6</v>
      </c>
      <c r="Q40" s="189">
        <f t="shared" si="10"/>
        <v>1</v>
      </c>
      <c r="R40" s="189">
        <f t="shared" si="10"/>
        <v>1</v>
      </c>
      <c r="S40" s="60" t="s">
        <v>178</v>
      </c>
      <c r="T40" s="60" t="s">
        <v>178</v>
      </c>
      <c r="U40" s="60" t="s">
        <v>178</v>
      </c>
      <c r="V40" s="60">
        <f t="shared" si="7"/>
        <v>46241</v>
      </c>
      <c r="W40" s="121">
        <f t="shared" si="0"/>
        <v>6</v>
      </c>
      <c r="AD40" s="60">
        <f t="shared" si="9"/>
        <v>46241</v>
      </c>
      <c r="AE40">
        <f t="shared" si="1"/>
        <v>197</v>
      </c>
      <c r="AF40">
        <f t="shared" si="2"/>
        <v>197</v>
      </c>
      <c r="AG40">
        <f t="shared" si="3"/>
        <v>187</v>
      </c>
      <c r="AH40">
        <f t="shared" si="4"/>
        <v>187</v>
      </c>
      <c r="AI40">
        <f t="shared" si="5"/>
        <v>187</v>
      </c>
      <c r="AJ40"/>
      <c r="AK40" s="94" t="s">
        <v>373</v>
      </c>
      <c r="AL40" s="94" t="s">
        <v>253</v>
      </c>
      <c r="AM40" s="94" t="s">
        <v>253</v>
      </c>
      <c r="AN40" s="94" t="s">
        <v>88</v>
      </c>
      <c r="AO40" s="94" t="s">
        <v>254</v>
      </c>
    </row>
    <row r="41" spans="15:41" x14ac:dyDescent="0.25">
      <c r="O41" s="60">
        <f t="shared" si="8"/>
        <v>46242</v>
      </c>
      <c r="P41" s="121">
        <f t="shared" si="6"/>
        <v>7</v>
      </c>
      <c r="Q41" s="189" t="str">
        <f t="shared" si="10"/>
        <v/>
      </c>
      <c r="R41" s="189" t="str">
        <f t="shared" si="10"/>
        <v/>
      </c>
      <c r="S41" s="60" t="s">
        <v>178</v>
      </c>
      <c r="T41" s="60" t="s">
        <v>178</v>
      </c>
      <c r="U41" s="60" t="s">
        <v>178</v>
      </c>
      <c r="V41" s="60">
        <f t="shared" si="7"/>
        <v>46242</v>
      </c>
      <c r="W41" s="121">
        <f t="shared" si="0"/>
        <v>7</v>
      </c>
      <c r="AD41" s="60">
        <f t="shared" si="9"/>
        <v>46242</v>
      </c>
      <c r="AE41">
        <f t="shared" si="1"/>
        <v>197</v>
      </c>
      <c r="AF41">
        <f t="shared" si="2"/>
        <v>197</v>
      </c>
      <c r="AG41">
        <f t="shared" si="3"/>
        <v>187</v>
      </c>
      <c r="AH41">
        <f t="shared" si="4"/>
        <v>187</v>
      </c>
      <c r="AI41">
        <f t="shared" si="5"/>
        <v>187</v>
      </c>
      <c r="AJ41"/>
      <c r="AK41" s="94" t="s">
        <v>374</v>
      </c>
      <c r="AL41" s="94" t="s">
        <v>375</v>
      </c>
      <c r="AM41" s="94" t="s">
        <v>255</v>
      </c>
      <c r="AN41" s="94" t="s">
        <v>88</v>
      </c>
      <c r="AO41" s="94" t="s">
        <v>521</v>
      </c>
    </row>
    <row r="42" spans="15:41" x14ac:dyDescent="0.25">
      <c r="O42" s="60">
        <f t="shared" si="8"/>
        <v>46243</v>
      </c>
      <c r="P42" s="121">
        <f t="shared" si="6"/>
        <v>1</v>
      </c>
      <c r="Q42" s="189" t="str">
        <f t="shared" si="10"/>
        <v/>
      </c>
      <c r="R42" s="189" t="str">
        <f t="shared" si="10"/>
        <v/>
      </c>
      <c r="S42" s="60" t="s">
        <v>178</v>
      </c>
      <c r="T42" s="60" t="s">
        <v>178</v>
      </c>
      <c r="U42" s="60" t="s">
        <v>178</v>
      </c>
      <c r="V42" s="60">
        <f t="shared" si="7"/>
        <v>46243</v>
      </c>
      <c r="W42" s="121">
        <f t="shared" si="0"/>
        <v>1</v>
      </c>
      <c r="AD42" s="60">
        <f t="shared" si="9"/>
        <v>46243</v>
      </c>
      <c r="AE42">
        <f t="shared" si="1"/>
        <v>197</v>
      </c>
      <c r="AF42">
        <f t="shared" si="2"/>
        <v>197</v>
      </c>
      <c r="AG42">
        <f t="shared" si="3"/>
        <v>187</v>
      </c>
      <c r="AH42">
        <f t="shared" si="4"/>
        <v>187</v>
      </c>
      <c r="AI42">
        <f t="shared" si="5"/>
        <v>187</v>
      </c>
      <c r="AJ42"/>
      <c r="AK42" s="94" t="s">
        <v>376</v>
      </c>
      <c r="AL42" s="94" t="s">
        <v>377</v>
      </c>
      <c r="AM42" s="94" t="s">
        <v>107</v>
      </c>
      <c r="AN42" s="94" t="s">
        <v>97</v>
      </c>
      <c r="AO42" s="94" t="s">
        <v>522</v>
      </c>
    </row>
    <row r="43" spans="15:41" x14ac:dyDescent="0.25">
      <c r="O43" s="60">
        <f t="shared" si="8"/>
        <v>46244</v>
      </c>
      <c r="P43" s="121">
        <f t="shared" si="6"/>
        <v>2</v>
      </c>
      <c r="Q43" s="189">
        <f t="shared" si="10"/>
        <v>1</v>
      </c>
      <c r="R43" s="189">
        <f t="shared" si="10"/>
        <v>1</v>
      </c>
      <c r="S43" s="189">
        <v>1</v>
      </c>
      <c r="T43" s="189">
        <v>1</v>
      </c>
      <c r="U43" s="189">
        <v>1</v>
      </c>
      <c r="V43" s="60">
        <f t="shared" si="7"/>
        <v>46244</v>
      </c>
      <c r="W43" s="121">
        <f t="shared" si="0"/>
        <v>2</v>
      </c>
      <c r="AD43" s="60">
        <f t="shared" si="9"/>
        <v>46244</v>
      </c>
      <c r="AE43">
        <f t="shared" si="1"/>
        <v>196</v>
      </c>
      <c r="AF43">
        <f t="shared" si="2"/>
        <v>196</v>
      </c>
      <c r="AG43">
        <f t="shared" si="3"/>
        <v>186</v>
      </c>
      <c r="AH43">
        <f t="shared" si="4"/>
        <v>186</v>
      </c>
      <c r="AI43">
        <f t="shared" si="5"/>
        <v>186</v>
      </c>
      <c r="AJ43"/>
      <c r="AK43" s="94" t="s">
        <v>378</v>
      </c>
      <c r="AL43" s="94" t="s">
        <v>256</v>
      </c>
      <c r="AM43" s="94" t="s">
        <v>256</v>
      </c>
      <c r="AN43" s="94" t="s">
        <v>88</v>
      </c>
      <c r="AO43" s="94" t="s">
        <v>257</v>
      </c>
    </row>
    <row r="44" spans="15:41" x14ac:dyDescent="0.25">
      <c r="O44" s="60">
        <f t="shared" si="8"/>
        <v>46245</v>
      </c>
      <c r="P44" s="121">
        <f t="shared" si="6"/>
        <v>3</v>
      </c>
      <c r="Q44" s="189">
        <f t="shared" ref="Q44:U95" si="11">IF(OR($P44=2,$P44=3,$P44=4,$P44=5,$P44=6),1,"")</f>
        <v>1</v>
      </c>
      <c r="R44" s="189">
        <f t="shared" si="11"/>
        <v>1</v>
      </c>
      <c r="S44" s="189">
        <f t="shared" si="11"/>
        <v>1</v>
      </c>
      <c r="T44" s="189">
        <f t="shared" si="11"/>
        <v>1</v>
      </c>
      <c r="U44" s="189">
        <f t="shared" si="11"/>
        <v>1</v>
      </c>
      <c r="V44" s="60">
        <f t="shared" si="7"/>
        <v>46245</v>
      </c>
      <c r="W44" s="121">
        <f t="shared" si="0"/>
        <v>3</v>
      </c>
      <c r="AD44" s="60">
        <f t="shared" si="9"/>
        <v>46245</v>
      </c>
      <c r="AE44">
        <f t="shared" si="1"/>
        <v>195</v>
      </c>
      <c r="AF44">
        <f t="shared" si="2"/>
        <v>195</v>
      </c>
      <c r="AG44">
        <f t="shared" si="3"/>
        <v>185</v>
      </c>
      <c r="AH44">
        <f t="shared" si="4"/>
        <v>185</v>
      </c>
      <c r="AI44">
        <f t="shared" si="5"/>
        <v>185</v>
      </c>
      <c r="AJ44"/>
      <c r="AK44" s="94" t="s">
        <v>379</v>
      </c>
      <c r="AL44" s="94" t="s">
        <v>380</v>
      </c>
      <c r="AM44" s="94" t="s">
        <v>130</v>
      </c>
      <c r="AN44" s="94" t="s">
        <v>97</v>
      </c>
      <c r="AO44" s="94" t="s">
        <v>523</v>
      </c>
    </row>
    <row r="45" spans="15:41" x14ac:dyDescent="0.25">
      <c r="O45" s="60">
        <f t="shared" si="8"/>
        <v>46246</v>
      </c>
      <c r="P45" s="121">
        <f t="shared" si="6"/>
        <v>4</v>
      </c>
      <c r="Q45" s="189">
        <f t="shared" si="11"/>
        <v>1</v>
      </c>
      <c r="R45" s="189">
        <f t="shared" si="11"/>
        <v>1</v>
      </c>
      <c r="S45" s="189">
        <f t="shared" si="11"/>
        <v>1</v>
      </c>
      <c r="T45" s="189">
        <f t="shared" si="11"/>
        <v>1</v>
      </c>
      <c r="U45" s="189">
        <f t="shared" si="11"/>
        <v>1</v>
      </c>
      <c r="V45" s="60">
        <f t="shared" si="7"/>
        <v>46246</v>
      </c>
      <c r="W45" s="121">
        <f t="shared" si="0"/>
        <v>4</v>
      </c>
      <c r="AD45" s="60">
        <f t="shared" si="9"/>
        <v>46246</v>
      </c>
      <c r="AE45">
        <f t="shared" si="1"/>
        <v>194</v>
      </c>
      <c r="AF45">
        <f t="shared" si="2"/>
        <v>194</v>
      </c>
      <c r="AG45">
        <f t="shared" si="3"/>
        <v>184</v>
      </c>
      <c r="AH45">
        <f t="shared" si="4"/>
        <v>184</v>
      </c>
      <c r="AI45">
        <f t="shared" si="5"/>
        <v>184</v>
      </c>
      <c r="AJ45"/>
      <c r="AK45" s="94" t="s">
        <v>381</v>
      </c>
      <c r="AL45" s="94" t="s">
        <v>382</v>
      </c>
      <c r="AM45" s="94" t="s">
        <v>104</v>
      </c>
      <c r="AN45" s="94" t="s">
        <v>97</v>
      </c>
      <c r="AO45" s="94" t="s">
        <v>524</v>
      </c>
    </row>
    <row r="46" spans="15:41" x14ac:dyDescent="0.25">
      <c r="O46" s="60">
        <f t="shared" si="8"/>
        <v>46247</v>
      </c>
      <c r="P46" s="121">
        <f t="shared" si="6"/>
        <v>5</v>
      </c>
      <c r="Q46" s="189">
        <f t="shared" si="11"/>
        <v>1</v>
      </c>
      <c r="R46" s="189">
        <f t="shared" si="11"/>
        <v>1</v>
      </c>
      <c r="S46" s="189">
        <f t="shared" si="11"/>
        <v>1</v>
      </c>
      <c r="T46" s="189">
        <f t="shared" si="11"/>
        <v>1</v>
      </c>
      <c r="U46" s="189">
        <f t="shared" si="11"/>
        <v>1</v>
      </c>
      <c r="V46" s="60">
        <f t="shared" si="7"/>
        <v>46247</v>
      </c>
      <c r="W46" s="121">
        <f t="shared" si="0"/>
        <v>5</v>
      </c>
      <c r="AD46" s="60">
        <f t="shared" si="9"/>
        <v>46247</v>
      </c>
      <c r="AE46">
        <f t="shared" si="1"/>
        <v>193</v>
      </c>
      <c r="AF46">
        <f t="shared" si="2"/>
        <v>193</v>
      </c>
      <c r="AG46">
        <f t="shared" si="3"/>
        <v>183</v>
      </c>
      <c r="AH46">
        <f t="shared" si="4"/>
        <v>183</v>
      </c>
      <c r="AI46">
        <f t="shared" si="5"/>
        <v>183</v>
      </c>
      <c r="AJ46"/>
      <c r="AK46" s="94" t="s">
        <v>383</v>
      </c>
      <c r="AL46" s="94" t="s">
        <v>384</v>
      </c>
      <c r="AM46" s="94" t="s">
        <v>141</v>
      </c>
      <c r="AN46" s="94" t="s">
        <v>133</v>
      </c>
      <c r="AO46" s="94" t="s">
        <v>166</v>
      </c>
    </row>
    <row r="47" spans="15:41" x14ac:dyDescent="0.25">
      <c r="O47" s="60">
        <f t="shared" si="8"/>
        <v>46248</v>
      </c>
      <c r="P47" s="121">
        <f t="shared" si="6"/>
        <v>6</v>
      </c>
      <c r="Q47" s="189">
        <f t="shared" si="11"/>
        <v>1</v>
      </c>
      <c r="R47" s="189">
        <f t="shared" si="11"/>
        <v>1</v>
      </c>
      <c r="S47" s="189">
        <f t="shared" si="11"/>
        <v>1</v>
      </c>
      <c r="T47" s="189">
        <f t="shared" si="11"/>
        <v>1</v>
      </c>
      <c r="U47" s="189">
        <f t="shared" si="11"/>
        <v>1</v>
      </c>
      <c r="V47" s="60">
        <f t="shared" si="7"/>
        <v>46248</v>
      </c>
      <c r="W47" s="121">
        <f t="shared" si="0"/>
        <v>6</v>
      </c>
      <c r="AD47" s="60">
        <f t="shared" si="9"/>
        <v>46248</v>
      </c>
      <c r="AE47">
        <f t="shared" si="1"/>
        <v>192</v>
      </c>
      <c r="AF47">
        <f t="shared" si="2"/>
        <v>192</v>
      </c>
      <c r="AG47">
        <f t="shared" si="3"/>
        <v>182</v>
      </c>
      <c r="AH47">
        <f t="shared" si="4"/>
        <v>182</v>
      </c>
      <c r="AI47">
        <f t="shared" si="5"/>
        <v>182</v>
      </c>
      <c r="AJ47"/>
      <c r="AK47" s="94" t="s">
        <v>385</v>
      </c>
      <c r="AL47" s="94" t="s">
        <v>386</v>
      </c>
      <c r="AM47" s="94" t="s">
        <v>114</v>
      </c>
      <c r="AN47" s="94" t="s">
        <v>97</v>
      </c>
      <c r="AO47" s="94" t="s">
        <v>525</v>
      </c>
    </row>
    <row r="48" spans="15:41" x14ac:dyDescent="0.25">
      <c r="O48" s="60">
        <f t="shared" si="8"/>
        <v>46249</v>
      </c>
      <c r="P48" s="121">
        <f t="shared" si="6"/>
        <v>7</v>
      </c>
      <c r="Q48" s="189" t="str">
        <f t="shared" si="11"/>
        <v/>
      </c>
      <c r="R48" s="189" t="str">
        <f t="shared" si="11"/>
        <v/>
      </c>
      <c r="S48" s="189" t="str">
        <f t="shared" si="11"/>
        <v/>
      </c>
      <c r="T48" s="189" t="str">
        <f t="shared" si="11"/>
        <v/>
      </c>
      <c r="U48" s="189" t="str">
        <f t="shared" si="11"/>
        <v/>
      </c>
      <c r="V48" s="60">
        <f t="shared" si="7"/>
        <v>46249</v>
      </c>
      <c r="W48" s="121">
        <f t="shared" si="0"/>
        <v>7</v>
      </c>
      <c r="AD48" s="60">
        <f t="shared" si="9"/>
        <v>46249</v>
      </c>
      <c r="AE48">
        <f t="shared" si="1"/>
        <v>192</v>
      </c>
      <c r="AF48">
        <f t="shared" si="2"/>
        <v>192</v>
      </c>
      <c r="AG48">
        <f t="shared" si="3"/>
        <v>182</v>
      </c>
      <c r="AH48">
        <f t="shared" si="4"/>
        <v>182</v>
      </c>
      <c r="AI48">
        <f t="shared" si="5"/>
        <v>182</v>
      </c>
      <c r="AJ48"/>
      <c r="AK48" s="94" t="s">
        <v>387</v>
      </c>
      <c r="AL48" s="94" t="s">
        <v>93</v>
      </c>
      <c r="AM48" s="94" t="s">
        <v>93</v>
      </c>
      <c r="AN48" s="94" t="s">
        <v>88</v>
      </c>
      <c r="AO48" s="94" t="s">
        <v>526</v>
      </c>
    </row>
    <row r="49" spans="15:41" x14ac:dyDescent="0.25">
      <c r="O49" s="60">
        <f t="shared" si="8"/>
        <v>46250</v>
      </c>
      <c r="P49" s="121">
        <f t="shared" si="6"/>
        <v>1</v>
      </c>
      <c r="Q49" s="189" t="str">
        <f t="shared" si="11"/>
        <v/>
      </c>
      <c r="R49" s="189" t="str">
        <f t="shared" si="11"/>
        <v/>
      </c>
      <c r="S49" s="189" t="str">
        <f t="shared" si="11"/>
        <v/>
      </c>
      <c r="T49" s="189" t="str">
        <f t="shared" si="11"/>
        <v/>
      </c>
      <c r="U49" s="189" t="str">
        <f t="shared" si="11"/>
        <v/>
      </c>
      <c r="V49" s="60">
        <f t="shared" si="7"/>
        <v>46250</v>
      </c>
      <c r="W49" s="121">
        <f t="shared" si="0"/>
        <v>1</v>
      </c>
      <c r="AD49" s="60">
        <f t="shared" si="9"/>
        <v>46250</v>
      </c>
      <c r="AE49">
        <f t="shared" si="1"/>
        <v>192</v>
      </c>
      <c r="AF49">
        <f t="shared" si="2"/>
        <v>192</v>
      </c>
      <c r="AG49">
        <f t="shared" si="3"/>
        <v>182</v>
      </c>
      <c r="AH49">
        <f t="shared" si="4"/>
        <v>182</v>
      </c>
      <c r="AI49">
        <f t="shared" si="5"/>
        <v>182</v>
      </c>
      <c r="AJ49"/>
      <c r="AK49" s="94" t="s">
        <v>388</v>
      </c>
      <c r="AL49" s="94" t="s">
        <v>389</v>
      </c>
      <c r="AM49" s="94" t="s">
        <v>108</v>
      </c>
      <c r="AN49" s="94" t="s">
        <v>97</v>
      </c>
      <c r="AO49" s="94" t="s">
        <v>527</v>
      </c>
    </row>
    <row r="50" spans="15:41" x14ac:dyDescent="0.25">
      <c r="O50" s="60">
        <f t="shared" si="8"/>
        <v>46251</v>
      </c>
      <c r="P50" s="121">
        <f t="shared" si="6"/>
        <v>2</v>
      </c>
      <c r="Q50" s="189">
        <f t="shared" si="11"/>
        <v>1</v>
      </c>
      <c r="R50" s="189">
        <f t="shared" si="11"/>
        <v>1</v>
      </c>
      <c r="S50" s="189">
        <f t="shared" si="11"/>
        <v>1</v>
      </c>
      <c r="T50" s="189">
        <f t="shared" si="11"/>
        <v>1</v>
      </c>
      <c r="U50" s="189">
        <f t="shared" si="11"/>
        <v>1</v>
      </c>
      <c r="V50" s="60">
        <f t="shared" si="7"/>
        <v>46251</v>
      </c>
      <c r="W50" s="121">
        <f t="shared" si="0"/>
        <v>2</v>
      </c>
      <c r="AD50" s="60">
        <f t="shared" si="9"/>
        <v>46251</v>
      </c>
      <c r="AE50">
        <f t="shared" si="1"/>
        <v>191</v>
      </c>
      <c r="AF50">
        <f t="shared" si="2"/>
        <v>191</v>
      </c>
      <c r="AG50">
        <f t="shared" si="3"/>
        <v>181</v>
      </c>
      <c r="AH50">
        <f t="shared" si="4"/>
        <v>181</v>
      </c>
      <c r="AI50">
        <f t="shared" si="5"/>
        <v>181</v>
      </c>
      <c r="AJ50"/>
      <c r="AK50" s="94" t="s">
        <v>390</v>
      </c>
      <c r="AL50" s="94" t="s">
        <v>391</v>
      </c>
      <c r="AM50" s="94" t="s">
        <v>258</v>
      </c>
      <c r="AN50" s="94" t="s">
        <v>88</v>
      </c>
      <c r="AO50" s="94" t="s">
        <v>528</v>
      </c>
    </row>
    <row r="51" spans="15:41" x14ac:dyDescent="0.25">
      <c r="O51" s="60">
        <f t="shared" si="8"/>
        <v>46252</v>
      </c>
      <c r="P51" s="121">
        <f t="shared" si="6"/>
        <v>3</v>
      </c>
      <c r="Q51" s="189">
        <f t="shared" si="11"/>
        <v>1</v>
      </c>
      <c r="R51" s="189">
        <f t="shared" si="11"/>
        <v>1</v>
      </c>
      <c r="S51" s="189">
        <f t="shared" si="11"/>
        <v>1</v>
      </c>
      <c r="T51" s="189">
        <f t="shared" si="11"/>
        <v>1</v>
      </c>
      <c r="U51" s="189">
        <f t="shared" si="11"/>
        <v>1</v>
      </c>
      <c r="V51" s="60">
        <f t="shared" si="7"/>
        <v>46252</v>
      </c>
      <c r="W51" s="121">
        <f t="shared" si="0"/>
        <v>3</v>
      </c>
      <c r="AC51" t="s">
        <v>261</v>
      </c>
      <c r="AD51" s="60">
        <f t="shared" si="9"/>
        <v>46252</v>
      </c>
      <c r="AE51">
        <f t="shared" si="1"/>
        <v>190</v>
      </c>
      <c r="AF51">
        <f t="shared" si="2"/>
        <v>190</v>
      </c>
      <c r="AG51">
        <f t="shared" si="3"/>
        <v>180</v>
      </c>
      <c r="AH51">
        <f t="shared" si="4"/>
        <v>180</v>
      </c>
      <c r="AI51">
        <f t="shared" si="5"/>
        <v>180</v>
      </c>
      <c r="AJ51"/>
      <c r="AK51" s="94" t="s">
        <v>392</v>
      </c>
      <c r="AL51" s="94" t="s">
        <v>393</v>
      </c>
      <c r="AM51" s="94" t="s">
        <v>109</v>
      </c>
      <c r="AN51" s="94" t="s">
        <v>97</v>
      </c>
      <c r="AO51" s="94" t="s">
        <v>529</v>
      </c>
    </row>
    <row r="52" spans="15:41" x14ac:dyDescent="0.25">
      <c r="O52" s="60">
        <f t="shared" si="8"/>
        <v>46253</v>
      </c>
      <c r="P52" s="121">
        <f t="shared" si="6"/>
        <v>4</v>
      </c>
      <c r="Q52" s="189">
        <f t="shared" si="11"/>
        <v>1</v>
      </c>
      <c r="R52" s="189">
        <f t="shared" si="11"/>
        <v>1</v>
      </c>
      <c r="S52" s="189">
        <f t="shared" si="11"/>
        <v>1</v>
      </c>
      <c r="T52" s="189">
        <f t="shared" si="11"/>
        <v>1</v>
      </c>
      <c r="U52" s="189">
        <f t="shared" si="11"/>
        <v>1</v>
      </c>
      <c r="V52" s="60">
        <f t="shared" si="7"/>
        <v>46253</v>
      </c>
      <c r="W52" s="121">
        <f t="shared" si="0"/>
        <v>4</v>
      </c>
      <c r="AC52" t="s">
        <v>264</v>
      </c>
      <c r="AD52" s="60">
        <f t="shared" si="9"/>
        <v>46253</v>
      </c>
      <c r="AE52">
        <f t="shared" si="1"/>
        <v>189</v>
      </c>
      <c r="AF52">
        <f t="shared" si="2"/>
        <v>189</v>
      </c>
      <c r="AG52">
        <f t="shared" si="3"/>
        <v>179</v>
      </c>
      <c r="AH52">
        <f t="shared" si="4"/>
        <v>179</v>
      </c>
      <c r="AI52">
        <f t="shared" si="5"/>
        <v>179</v>
      </c>
      <c r="AJ52"/>
      <c r="AK52" s="94" t="s">
        <v>394</v>
      </c>
      <c r="AL52" s="94" t="s">
        <v>395</v>
      </c>
      <c r="AM52" s="94" t="s">
        <v>112</v>
      </c>
      <c r="AN52" s="94" t="s">
        <v>97</v>
      </c>
      <c r="AO52" s="94" t="s">
        <v>530</v>
      </c>
    </row>
    <row r="53" spans="15:41" x14ac:dyDescent="0.25">
      <c r="O53" s="60">
        <f t="shared" si="8"/>
        <v>46254</v>
      </c>
      <c r="P53" s="121">
        <f t="shared" si="6"/>
        <v>5</v>
      </c>
      <c r="Q53" s="189">
        <f t="shared" si="11"/>
        <v>1</v>
      </c>
      <c r="R53" s="189">
        <f t="shared" si="11"/>
        <v>1</v>
      </c>
      <c r="S53" s="189">
        <f t="shared" si="11"/>
        <v>1</v>
      </c>
      <c r="T53" s="189">
        <f t="shared" si="11"/>
        <v>1</v>
      </c>
      <c r="U53" s="189">
        <f t="shared" si="11"/>
        <v>1</v>
      </c>
      <c r="V53" s="60">
        <f t="shared" si="7"/>
        <v>46254</v>
      </c>
      <c r="W53" s="121">
        <f t="shared" si="0"/>
        <v>5</v>
      </c>
      <c r="AC53" t="s">
        <v>261</v>
      </c>
      <c r="AD53" s="60">
        <f t="shared" si="9"/>
        <v>46254</v>
      </c>
      <c r="AE53">
        <f t="shared" si="1"/>
        <v>188</v>
      </c>
      <c r="AF53">
        <f t="shared" si="2"/>
        <v>188</v>
      </c>
      <c r="AG53">
        <f t="shared" si="3"/>
        <v>178</v>
      </c>
      <c r="AH53">
        <f t="shared" si="4"/>
        <v>178</v>
      </c>
      <c r="AI53">
        <f t="shared" si="5"/>
        <v>178</v>
      </c>
      <c r="AJ53"/>
      <c r="AK53" s="94" t="s">
        <v>396</v>
      </c>
      <c r="AL53" s="94" t="s">
        <v>146</v>
      </c>
      <c r="AM53" s="94" t="s">
        <v>146</v>
      </c>
      <c r="AN53" s="94" t="s">
        <v>144</v>
      </c>
      <c r="AO53" s="94" t="s">
        <v>170</v>
      </c>
    </row>
    <row r="54" spans="15:41" x14ac:dyDescent="0.25">
      <c r="O54" s="60">
        <f t="shared" si="8"/>
        <v>46255</v>
      </c>
      <c r="P54" s="121">
        <f t="shared" si="6"/>
        <v>6</v>
      </c>
      <c r="Q54" s="189">
        <f t="shared" si="11"/>
        <v>1</v>
      </c>
      <c r="R54" s="189">
        <f t="shared" si="11"/>
        <v>1</v>
      </c>
      <c r="S54" s="189">
        <f t="shared" si="11"/>
        <v>1</v>
      </c>
      <c r="T54" s="189">
        <f t="shared" si="11"/>
        <v>1</v>
      </c>
      <c r="U54" s="189">
        <f t="shared" si="11"/>
        <v>1</v>
      </c>
      <c r="V54" s="60">
        <f t="shared" si="7"/>
        <v>46255</v>
      </c>
      <c r="W54" s="121">
        <f t="shared" si="0"/>
        <v>6</v>
      </c>
      <c r="AC54" t="s">
        <v>264</v>
      </c>
      <c r="AD54" s="60">
        <f t="shared" si="9"/>
        <v>46255</v>
      </c>
      <c r="AE54">
        <f t="shared" si="1"/>
        <v>187</v>
      </c>
      <c r="AF54">
        <f t="shared" si="2"/>
        <v>187</v>
      </c>
      <c r="AG54">
        <f t="shared" si="3"/>
        <v>177</v>
      </c>
      <c r="AH54">
        <f t="shared" si="4"/>
        <v>177</v>
      </c>
      <c r="AI54">
        <f t="shared" si="5"/>
        <v>177</v>
      </c>
      <c r="AJ54"/>
      <c r="AK54" s="94" t="s">
        <v>397</v>
      </c>
      <c r="AL54" s="94" t="s">
        <v>398</v>
      </c>
      <c r="AM54" s="94" t="s">
        <v>222</v>
      </c>
      <c r="AN54" s="94" t="s">
        <v>133</v>
      </c>
      <c r="AO54" s="94" t="s">
        <v>531</v>
      </c>
    </row>
    <row r="55" spans="15:41" x14ac:dyDescent="0.25">
      <c r="O55" s="60">
        <f t="shared" si="8"/>
        <v>46256</v>
      </c>
      <c r="P55" s="121">
        <f t="shared" si="6"/>
        <v>7</v>
      </c>
      <c r="Q55" s="189" t="str">
        <f t="shared" si="11"/>
        <v/>
      </c>
      <c r="R55" s="189" t="str">
        <f t="shared" si="11"/>
        <v/>
      </c>
      <c r="S55" s="189" t="str">
        <f t="shared" si="11"/>
        <v/>
      </c>
      <c r="T55" s="189" t="str">
        <f t="shared" si="11"/>
        <v/>
      </c>
      <c r="U55" s="189" t="str">
        <f t="shared" si="11"/>
        <v/>
      </c>
      <c r="V55" s="60">
        <f t="shared" si="7"/>
        <v>46256</v>
      </c>
      <c r="W55" s="121">
        <f t="shared" si="0"/>
        <v>7</v>
      </c>
      <c r="AD55" s="60">
        <f t="shared" si="9"/>
        <v>46256</v>
      </c>
      <c r="AE55">
        <f t="shared" si="1"/>
        <v>187</v>
      </c>
      <c r="AF55">
        <f t="shared" si="2"/>
        <v>187</v>
      </c>
      <c r="AG55">
        <f t="shared" si="3"/>
        <v>177</v>
      </c>
      <c r="AH55">
        <f t="shared" si="4"/>
        <v>177</v>
      </c>
      <c r="AI55">
        <f t="shared" si="5"/>
        <v>177</v>
      </c>
      <c r="AJ55"/>
      <c r="AK55" s="94" t="s">
        <v>399</v>
      </c>
      <c r="AL55" s="94" t="s">
        <v>259</v>
      </c>
      <c r="AM55" s="94" t="s">
        <v>259</v>
      </c>
      <c r="AN55" s="94" t="s">
        <v>88</v>
      </c>
      <c r="AO55" s="94" t="s">
        <v>260</v>
      </c>
    </row>
    <row r="56" spans="15:41" x14ac:dyDescent="0.25">
      <c r="O56" s="60">
        <f t="shared" si="8"/>
        <v>46257</v>
      </c>
      <c r="P56" s="121">
        <f t="shared" si="6"/>
        <v>1</v>
      </c>
      <c r="Q56" s="189" t="str">
        <f t="shared" si="11"/>
        <v/>
      </c>
      <c r="R56" s="189" t="str">
        <f t="shared" si="11"/>
        <v/>
      </c>
      <c r="S56" s="189" t="str">
        <f t="shared" si="11"/>
        <v/>
      </c>
      <c r="T56" s="189" t="str">
        <f t="shared" si="11"/>
        <v/>
      </c>
      <c r="U56" s="189" t="str">
        <f t="shared" si="11"/>
        <v/>
      </c>
      <c r="V56" s="60">
        <f t="shared" si="7"/>
        <v>46257</v>
      </c>
      <c r="W56" s="121">
        <f t="shared" si="0"/>
        <v>1</v>
      </c>
      <c r="AD56" s="60">
        <f t="shared" si="9"/>
        <v>46257</v>
      </c>
      <c r="AE56">
        <f t="shared" si="1"/>
        <v>187</v>
      </c>
      <c r="AF56">
        <f t="shared" si="2"/>
        <v>187</v>
      </c>
      <c r="AG56">
        <f t="shared" si="3"/>
        <v>177</v>
      </c>
      <c r="AH56">
        <f t="shared" si="4"/>
        <v>177</v>
      </c>
      <c r="AI56">
        <f t="shared" si="5"/>
        <v>177</v>
      </c>
      <c r="AJ56"/>
      <c r="AK56" s="94" t="s">
        <v>400</v>
      </c>
      <c r="AL56" s="94" t="s">
        <v>401</v>
      </c>
      <c r="AM56" s="94" t="s">
        <v>262</v>
      </c>
      <c r="AN56" s="94" t="s">
        <v>88</v>
      </c>
      <c r="AO56" s="94" t="s">
        <v>263</v>
      </c>
    </row>
    <row r="57" spans="15:41" x14ac:dyDescent="0.25">
      <c r="O57" s="60">
        <f t="shared" si="8"/>
        <v>46258</v>
      </c>
      <c r="P57" s="121">
        <f t="shared" si="6"/>
        <v>2</v>
      </c>
      <c r="Q57" s="189">
        <f t="shared" si="11"/>
        <v>1</v>
      </c>
      <c r="R57" s="189">
        <f t="shared" si="11"/>
        <v>1</v>
      </c>
      <c r="S57" s="189">
        <f t="shared" si="11"/>
        <v>1</v>
      </c>
      <c r="T57" s="189">
        <f t="shared" si="11"/>
        <v>1</v>
      </c>
      <c r="U57" s="189">
        <f t="shared" si="11"/>
        <v>1</v>
      </c>
      <c r="V57" s="60">
        <f t="shared" si="7"/>
        <v>46258</v>
      </c>
      <c r="W57" s="121">
        <f t="shared" si="0"/>
        <v>2</v>
      </c>
      <c r="AC57" t="s">
        <v>261</v>
      </c>
      <c r="AD57" s="60">
        <f t="shared" si="9"/>
        <v>46258</v>
      </c>
      <c r="AE57">
        <f t="shared" si="1"/>
        <v>186</v>
      </c>
      <c r="AF57">
        <f t="shared" si="2"/>
        <v>186</v>
      </c>
      <c r="AG57">
        <f t="shared" si="3"/>
        <v>176</v>
      </c>
      <c r="AH57">
        <f t="shared" si="4"/>
        <v>176</v>
      </c>
      <c r="AI57">
        <f t="shared" si="5"/>
        <v>176</v>
      </c>
      <c r="AJ57"/>
      <c r="AK57" s="94" t="s">
        <v>402</v>
      </c>
      <c r="AL57" s="94" t="s">
        <v>403</v>
      </c>
      <c r="AM57" s="94" t="s">
        <v>95</v>
      </c>
      <c r="AN57" s="94" t="s">
        <v>88</v>
      </c>
      <c r="AO57" s="94" t="s">
        <v>532</v>
      </c>
    </row>
    <row r="58" spans="15:41" x14ac:dyDescent="0.25">
      <c r="O58" s="60">
        <f t="shared" si="8"/>
        <v>46259</v>
      </c>
      <c r="P58" s="121">
        <f t="shared" si="6"/>
        <v>3</v>
      </c>
      <c r="Q58" s="189">
        <f t="shared" si="11"/>
        <v>1</v>
      </c>
      <c r="R58" s="189">
        <f t="shared" si="11"/>
        <v>1</v>
      </c>
      <c r="S58" s="189">
        <f t="shared" si="11"/>
        <v>1</v>
      </c>
      <c r="T58" s="189">
        <f t="shared" si="11"/>
        <v>1</v>
      </c>
      <c r="U58" s="189">
        <f t="shared" si="11"/>
        <v>1</v>
      </c>
      <c r="V58" s="60">
        <f t="shared" si="7"/>
        <v>46259</v>
      </c>
      <c r="W58" s="121">
        <f t="shared" si="0"/>
        <v>3</v>
      </c>
      <c r="AC58" t="s">
        <v>264</v>
      </c>
      <c r="AD58" s="60">
        <f t="shared" si="9"/>
        <v>46259</v>
      </c>
      <c r="AE58">
        <f t="shared" si="1"/>
        <v>185</v>
      </c>
      <c r="AF58">
        <f t="shared" si="2"/>
        <v>185</v>
      </c>
      <c r="AG58">
        <f t="shared" si="3"/>
        <v>175</v>
      </c>
      <c r="AH58">
        <f t="shared" si="4"/>
        <v>175</v>
      </c>
      <c r="AI58">
        <f t="shared" si="5"/>
        <v>175</v>
      </c>
      <c r="AJ58"/>
      <c r="AK58" s="94" t="s">
        <v>404</v>
      </c>
      <c r="AL58" s="94" t="s">
        <v>405</v>
      </c>
      <c r="AM58" s="94" t="s">
        <v>265</v>
      </c>
      <c r="AN58" s="94" t="s">
        <v>88</v>
      </c>
      <c r="AO58" s="94" t="s">
        <v>533</v>
      </c>
    </row>
    <row r="59" spans="15:41" x14ac:dyDescent="0.25">
      <c r="O59" s="60">
        <f t="shared" si="8"/>
        <v>46260</v>
      </c>
      <c r="P59" s="121">
        <f t="shared" si="6"/>
        <v>4</v>
      </c>
      <c r="Q59" s="189">
        <f t="shared" si="11"/>
        <v>1</v>
      </c>
      <c r="R59" s="189">
        <f t="shared" si="11"/>
        <v>1</v>
      </c>
      <c r="S59" s="189">
        <f t="shared" si="11"/>
        <v>1</v>
      </c>
      <c r="T59" s="189">
        <f t="shared" si="11"/>
        <v>1</v>
      </c>
      <c r="U59" s="189">
        <f t="shared" si="11"/>
        <v>1</v>
      </c>
      <c r="V59" s="60">
        <f t="shared" si="7"/>
        <v>46260</v>
      </c>
      <c r="W59" s="121">
        <f t="shared" si="0"/>
        <v>4</v>
      </c>
      <c r="AC59" t="s">
        <v>261</v>
      </c>
      <c r="AD59" s="60">
        <f t="shared" si="9"/>
        <v>46260</v>
      </c>
      <c r="AE59">
        <f t="shared" si="1"/>
        <v>184</v>
      </c>
      <c r="AF59">
        <f t="shared" si="2"/>
        <v>184</v>
      </c>
      <c r="AG59">
        <f t="shared" si="3"/>
        <v>174</v>
      </c>
      <c r="AH59">
        <f t="shared" si="4"/>
        <v>174</v>
      </c>
      <c r="AI59">
        <f t="shared" si="5"/>
        <v>174</v>
      </c>
      <c r="AJ59"/>
      <c r="AK59" s="94" t="s">
        <v>406</v>
      </c>
      <c r="AL59" s="94" t="s">
        <v>151</v>
      </c>
      <c r="AM59" s="94" t="s">
        <v>151</v>
      </c>
      <c r="AN59" s="94" t="s">
        <v>266</v>
      </c>
      <c r="AO59" s="94" t="s">
        <v>175</v>
      </c>
    </row>
    <row r="60" spans="15:41" x14ac:dyDescent="0.25">
      <c r="O60" s="60">
        <f t="shared" si="8"/>
        <v>46261</v>
      </c>
      <c r="P60" s="121">
        <f t="shared" si="6"/>
        <v>5</v>
      </c>
      <c r="Q60" s="189">
        <f t="shared" si="11"/>
        <v>1</v>
      </c>
      <c r="R60" s="189">
        <f t="shared" si="11"/>
        <v>1</v>
      </c>
      <c r="S60" s="189">
        <f t="shared" si="11"/>
        <v>1</v>
      </c>
      <c r="T60" s="189">
        <f t="shared" si="11"/>
        <v>1</v>
      </c>
      <c r="U60" s="189">
        <f t="shared" si="11"/>
        <v>1</v>
      </c>
      <c r="V60" s="60">
        <f t="shared" si="7"/>
        <v>46261</v>
      </c>
      <c r="W60" s="121">
        <f t="shared" si="0"/>
        <v>5</v>
      </c>
      <c r="AC60" t="s">
        <v>264</v>
      </c>
      <c r="AD60" s="60">
        <f t="shared" si="9"/>
        <v>46261</v>
      </c>
      <c r="AE60">
        <f t="shared" si="1"/>
        <v>183</v>
      </c>
      <c r="AF60">
        <f t="shared" si="2"/>
        <v>183</v>
      </c>
      <c r="AG60">
        <f t="shared" si="3"/>
        <v>173</v>
      </c>
      <c r="AH60">
        <f t="shared" si="4"/>
        <v>173</v>
      </c>
      <c r="AI60">
        <f t="shared" si="5"/>
        <v>173</v>
      </c>
      <c r="AJ60"/>
      <c r="AK60" s="94" t="s">
        <v>407</v>
      </c>
      <c r="AL60" s="94" t="s">
        <v>152</v>
      </c>
      <c r="AM60" s="94" t="s">
        <v>152</v>
      </c>
      <c r="AN60" s="94" t="s">
        <v>266</v>
      </c>
      <c r="AO60" s="94" t="s">
        <v>176</v>
      </c>
    </row>
    <row r="61" spans="15:41" x14ac:dyDescent="0.25">
      <c r="O61" s="60">
        <f t="shared" si="8"/>
        <v>46262</v>
      </c>
      <c r="P61" s="121">
        <f t="shared" si="6"/>
        <v>6</v>
      </c>
      <c r="Q61" s="189">
        <f t="shared" si="11"/>
        <v>1</v>
      </c>
      <c r="R61" s="189">
        <f t="shared" si="11"/>
        <v>1</v>
      </c>
      <c r="S61" s="189">
        <f t="shared" si="11"/>
        <v>1</v>
      </c>
      <c r="T61" s="189">
        <f t="shared" si="11"/>
        <v>1</v>
      </c>
      <c r="U61" s="189">
        <f t="shared" si="11"/>
        <v>1</v>
      </c>
      <c r="V61" s="60">
        <f t="shared" si="7"/>
        <v>46262</v>
      </c>
      <c r="W61" s="121">
        <f t="shared" si="0"/>
        <v>6</v>
      </c>
      <c r="AC61" t="s">
        <v>261</v>
      </c>
      <c r="AD61" s="60">
        <f t="shared" si="9"/>
        <v>46262</v>
      </c>
      <c r="AE61">
        <f t="shared" si="1"/>
        <v>182</v>
      </c>
      <c r="AF61">
        <f t="shared" si="2"/>
        <v>182</v>
      </c>
      <c r="AG61">
        <f t="shared" si="3"/>
        <v>172</v>
      </c>
      <c r="AH61">
        <f t="shared" si="4"/>
        <v>172</v>
      </c>
      <c r="AI61">
        <f t="shared" si="5"/>
        <v>172</v>
      </c>
      <c r="AJ61"/>
      <c r="AK61" s="94" t="s">
        <v>408</v>
      </c>
      <c r="AL61" s="94" t="s">
        <v>409</v>
      </c>
      <c r="AM61" s="94" t="s">
        <v>132</v>
      </c>
      <c r="AN61" s="94" t="s">
        <v>133</v>
      </c>
      <c r="AO61" s="94" t="s">
        <v>161</v>
      </c>
    </row>
    <row r="62" spans="15:41" x14ac:dyDescent="0.25">
      <c r="O62" s="60">
        <f t="shared" si="8"/>
        <v>46263</v>
      </c>
      <c r="P62" s="121">
        <f t="shared" si="6"/>
        <v>7</v>
      </c>
      <c r="Q62" s="189" t="str">
        <f t="shared" si="11"/>
        <v/>
      </c>
      <c r="R62" s="189" t="str">
        <f t="shared" si="11"/>
        <v/>
      </c>
      <c r="S62" s="189" t="str">
        <f t="shared" si="11"/>
        <v/>
      </c>
      <c r="T62" s="189" t="str">
        <f t="shared" si="11"/>
        <v/>
      </c>
      <c r="U62" s="189" t="str">
        <f t="shared" si="11"/>
        <v/>
      </c>
      <c r="V62" s="60">
        <f t="shared" si="7"/>
        <v>46263</v>
      </c>
      <c r="W62" s="121">
        <f t="shared" si="0"/>
        <v>7</v>
      </c>
      <c r="AD62" s="60">
        <f t="shared" si="9"/>
        <v>46263</v>
      </c>
      <c r="AE62">
        <f t="shared" si="1"/>
        <v>182</v>
      </c>
      <c r="AF62">
        <f t="shared" si="2"/>
        <v>182</v>
      </c>
      <c r="AG62">
        <f t="shared" si="3"/>
        <v>172</v>
      </c>
      <c r="AH62">
        <f t="shared" si="4"/>
        <v>172</v>
      </c>
      <c r="AI62">
        <f t="shared" si="5"/>
        <v>172</v>
      </c>
      <c r="AJ62"/>
      <c r="AK62" s="94" t="s">
        <v>410</v>
      </c>
      <c r="AL62" s="94" t="s">
        <v>411</v>
      </c>
      <c r="AM62" s="94" t="s">
        <v>268</v>
      </c>
      <c r="AN62" s="94" t="s">
        <v>88</v>
      </c>
      <c r="AO62" s="94" t="s">
        <v>534</v>
      </c>
    </row>
    <row r="63" spans="15:41" x14ac:dyDescent="0.25">
      <c r="O63" s="60">
        <f t="shared" si="8"/>
        <v>46264</v>
      </c>
      <c r="P63" s="121">
        <f t="shared" si="6"/>
        <v>1</v>
      </c>
      <c r="Q63" s="189" t="str">
        <f t="shared" si="11"/>
        <v/>
      </c>
      <c r="R63" s="189" t="str">
        <f t="shared" si="11"/>
        <v/>
      </c>
      <c r="S63" s="189" t="str">
        <f t="shared" si="11"/>
        <v/>
      </c>
      <c r="T63" s="189" t="str">
        <f t="shared" si="11"/>
        <v/>
      </c>
      <c r="U63" s="189" t="str">
        <f t="shared" si="11"/>
        <v/>
      </c>
      <c r="V63" s="60">
        <f t="shared" si="7"/>
        <v>46264</v>
      </c>
      <c r="W63" s="121">
        <f t="shared" si="0"/>
        <v>1</v>
      </c>
      <c r="AD63" s="60">
        <f t="shared" si="9"/>
        <v>46264</v>
      </c>
      <c r="AE63">
        <f t="shared" si="1"/>
        <v>182</v>
      </c>
      <c r="AF63">
        <f t="shared" si="2"/>
        <v>182</v>
      </c>
      <c r="AG63">
        <f t="shared" si="3"/>
        <v>172</v>
      </c>
      <c r="AH63">
        <f t="shared" si="4"/>
        <v>172</v>
      </c>
      <c r="AI63">
        <f t="shared" si="5"/>
        <v>172</v>
      </c>
      <c r="AJ63"/>
      <c r="AK63" s="94" t="s">
        <v>412</v>
      </c>
      <c r="AL63" s="94" t="s">
        <v>413</v>
      </c>
      <c r="AM63" s="94" t="s">
        <v>111</v>
      </c>
      <c r="AN63" s="94" t="s">
        <v>97</v>
      </c>
      <c r="AO63" s="94" t="s">
        <v>535</v>
      </c>
    </row>
    <row r="64" spans="15:41" x14ac:dyDescent="0.25">
      <c r="O64" s="60">
        <f t="shared" si="8"/>
        <v>46265</v>
      </c>
      <c r="P64" s="121">
        <f t="shared" si="6"/>
        <v>2</v>
      </c>
      <c r="Q64" s="189">
        <f t="shared" si="11"/>
        <v>1</v>
      </c>
      <c r="R64" s="189">
        <f t="shared" si="11"/>
        <v>1</v>
      </c>
      <c r="S64" s="189">
        <f t="shared" si="11"/>
        <v>1</v>
      </c>
      <c r="T64" s="189">
        <f t="shared" si="11"/>
        <v>1</v>
      </c>
      <c r="U64" s="189">
        <f t="shared" si="11"/>
        <v>1</v>
      </c>
      <c r="V64" s="60">
        <f t="shared" si="7"/>
        <v>46265</v>
      </c>
      <c r="W64" s="121">
        <f t="shared" si="0"/>
        <v>2</v>
      </c>
      <c r="AC64" t="s">
        <v>264</v>
      </c>
      <c r="AD64" s="60">
        <f t="shared" si="9"/>
        <v>46265</v>
      </c>
      <c r="AE64">
        <f t="shared" si="1"/>
        <v>181</v>
      </c>
      <c r="AF64">
        <f t="shared" si="2"/>
        <v>181</v>
      </c>
      <c r="AG64">
        <f t="shared" si="3"/>
        <v>171</v>
      </c>
      <c r="AH64">
        <f t="shared" si="4"/>
        <v>171</v>
      </c>
      <c r="AI64">
        <f t="shared" si="5"/>
        <v>171</v>
      </c>
      <c r="AJ64"/>
      <c r="AK64" s="94" t="s">
        <v>414</v>
      </c>
      <c r="AL64" s="94" t="s">
        <v>415</v>
      </c>
      <c r="AM64" s="94" t="s">
        <v>110</v>
      </c>
      <c r="AN64" s="94" t="s">
        <v>97</v>
      </c>
      <c r="AO64" s="94" t="s">
        <v>536</v>
      </c>
    </row>
    <row r="65" spans="15:41" x14ac:dyDescent="0.25">
      <c r="O65" s="60">
        <f t="shared" si="8"/>
        <v>46266</v>
      </c>
      <c r="P65" s="121">
        <f t="shared" si="6"/>
        <v>3</v>
      </c>
      <c r="Q65" s="189">
        <f t="shared" si="11"/>
        <v>1</v>
      </c>
      <c r="R65" s="189">
        <f t="shared" si="11"/>
        <v>1</v>
      </c>
      <c r="S65" s="189">
        <f t="shared" si="11"/>
        <v>1</v>
      </c>
      <c r="T65" s="189">
        <f t="shared" si="11"/>
        <v>1</v>
      </c>
      <c r="U65" s="189">
        <f t="shared" si="11"/>
        <v>1</v>
      </c>
      <c r="V65" s="60">
        <f t="shared" si="7"/>
        <v>46266</v>
      </c>
      <c r="W65" s="121">
        <f t="shared" si="0"/>
        <v>3</v>
      </c>
      <c r="AC65" t="s">
        <v>261</v>
      </c>
      <c r="AD65" s="60">
        <f t="shared" si="9"/>
        <v>46266</v>
      </c>
      <c r="AE65">
        <f t="shared" si="1"/>
        <v>180</v>
      </c>
      <c r="AF65">
        <f t="shared" si="2"/>
        <v>180</v>
      </c>
      <c r="AG65">
        <f t="shared" si="3"/>
        <v>170</v>
      </c>
      <c r="AH65">
        <f t="shared" si="4"/>
        <v>170</v>
      </c>
      <c r="AI65">
        <f t="shared" si="5"/>
        <v>170</v>
      </c>
      <c r="AJ65"/>
      <c r="AK65" s="94" t="s">
        <v>578</v>
      </c>
      <c r="AL65" s="94" t="s">
        <v>579</v>
      </c>
      <c r="AM65" s="94" t="s">
        <v>580</v>
      </c>
      <c r="AN65" s="94" t="s">
        <v>97</v>
      </c>
      <c r="AO65" s="94" t="s">
        <v>584</v>
      </c>
    </row>
    <row r="66" spans="15:41" x14ac:dyDescent="0.25">
      <c r="O66" s="60">
        <f t="shared" si="8"/>
        <v>46267</v>
      </c>
      <c r="P66" s="121">
        <f t="shared" si="6"/>
        <v>4</v>
      </c>
      <c r="Q66" s="189">
        <f t="shared" si="11"/>
        <v>1</v>
      </c>
      <c r="R66" s="189">
        <f t="shared" si="11"/>
        <v>1</v>
      </c>
      <c r="S66" s="189">
        <f t="shared" si="11"/>
        <v>1</v>
      </c>
      <c r="T66" s="189">
        <f t="shared" si="11"/>
        <v>1</v>
      </c>
      <c r="U66" s="189">
        <f t="shared" si="11"/>
        <v>1</v>
      </c>
      <c r="V66" s="60">
        <f t="shared" si="7"/>
        <v>46267</v>
      </c>
      <c r="W66" s="121">
        <f t="shared" si="0"/>
        <v>4</v>
      </c>
      <c r="AC66" t="s">
        <v>264</v>
      </c>
      <c r="AD66" s="60">
        <f t="shared" si="9"/>
        <v>46267</v>
      </c>
      <c r="AE66">
        <f t="shared" si="1"/>
        <v>179</v>
      </c>
      <c r="AF66">
        <f t="shared" si="2"/>
        <v>179</v>
      </c>
      <c r="AG66">
        <f t="shared" si="3"/>
        <v>169</v>
      </c>
      <c r="AH66">
        <f t="shared" si="4"/>
        <v>169</v>
      </c>
      <c r="AI66">
        <f t="shared" si="5"/>
        <v>169</v>
      </c>
      <c r="AJ66"/>
      <c r="AK66" s="94" t="s">
        <v>416</v>
      </c>
      <c r="AL66" s="94" t="s">
        <v>417</v>
      </c>
      <c r="AM66" s="94" t="s">
        <v>156</v>
      </c>
      <c r="AN66" s="94" t="s">
        <v>269</v>
      </c>
      <c r="AO66" s="94" t="s">
        <v>537</v>
      </c>
    </row>
    <row r="67" spans="15:41" x14ac:dyDescent="0.25">
      <c r="O67" s="60">
        <f t="shared" si="8"/>
        <v>46268</v>
      </c>
      <c r="P67" s="121">
        <f t="shared" si="6"/>
        <v>5</v>
      </c>
      <c r="Q67" s="189">
        <f t="shared" si="11"/>
        <v>1</v>
      </c>
      <c r="R67" s="189">
        <f t="shared" si="11"/>
        <v>1</v>
      </c>
      <c r="S67" s="189">
        <f t="shared" si="11"/>
        <v>1</v>
      </c>
      <c r="T67" s="189">
        <f t="shared" si="11"/>
        <v>1</v>
      </c>
      <c r="U67" s="189">
        <f t="shared" si="11"/>
        <v>1</v>
      </c>
      <c r="V67" s="60">
        <f t="shared" si="7"/>
        <v>46268</v>
      </c>
      <c r="W67" s="121">
        <f t="shared" ref="W67:W130" si="12">WEEKDAY(V67)</f>
        <v>5</v>
      </c>
      <c r="AC67" t="s">
        <v>261</v>
      </c>
      <c r="AD67" s="60">
        <f t="shared" si="9"/>
        <v>46268</v>
      </c>
      <c r="AE67">
        <f t="shared" ref="AE67:AE130" si="13">AE66-(IF(Q67=1,1,0))</f>
        <v>178</v>
      </c>
      <c r="AF67">
        <f t="shared" ref="AF67:AF130" si="14">AF66-(IF(R67=1,1,0))</f>
        <v>178</v>
      </c>
      <c r="AG67">
        <f t="shared" ref="AG67:AG130" si="15">AG66-(IF(S67=1,1,0))</f>
        <v>168</v>
      </c>
      <c r="AH67">
        <f t="shared" ref="AH67:AH130" si="16">AH66-(IF(T67=1,1,0))</f>
        <v>168</v>
      </c>
      <c r="AI67">
        <f t="shared" ref="AI67:AI130" si="17">AI66-(IF(U67=1,1,0))</f>
        <v>168</v>
      </c>
      <c r="AJ67"/>
      <c r="AK67" s="94" t="s">
        <v>418</v>
      </c>
      <c r="AL67" s="94" t="s">
        <v>419</v>
      </c>
      <c r="AM67" s="94" t="s">
        <v>420</v>
      </c>
      <c r="AN67" s="94" t="s">
        <v>133</v>
      </c>
      <c r="AO67" s="94" t="s">
        <v>538</v>
      </c>
    </row>
    <row r="68" spans="15:41" x14ac:dyDescent="0.25">
      <c r="O68" s="60">
        <f t="shared" si="8"/>
        <v>46269</v>
      </c>
      <c r="P68" s="121">
        <f t="shared" ref="P68:P131" si="18">WEEKDAY(O68)</f>
        <v>6</v>
      </c>
      <c r="Q68" s="189">
        <f t="shared" si="11"/>
        <v>1</v>
      </c>
      <c r="R68" s="189">
        <f t="shared" si="11"/>
        <v>1</v>
      </c>
      <c r="S68" s="189">
        <f t="shared" si="11"/>
        <v>1</v>
      </c>
      <c r="T68" s="189">
        <f t="shared" si="11"/>
        <v>1</v>
      </c>
      <c r="U68" s="189">
        <f t="shared" si="11"/>
        <v>1</v>
      </c>
      <c r="V68" s="60">
        <f t="shared" ref="V68:V131" si="19">V67+1</f>
        <v>46269</v>
      </c>
      <c r="W68" s="121">
        <f t="shared" si="12"/>
        <v>6</v>
      </c>
      <c r="AC68" t="s">
        <v>264</v>
      </c>
      <c r="AD68" s="60">
        <f t="shared" si="9"/>
        <v>46269</v>
      </c>
      <c r="AE68">
        <f t="shared" si="13"/>
        <v>177</v>
      </c>
      <c r="AF68">
        <f t="shared" si="14"/>
        <v>177</v>
      </c>
      <c r="AG68">
        <f t="shared" si="15"/>
        <v>167</v>
      </c>
      <c r="AH68">
        <f t="shared" si="16"/>
        <v>167</v>
      </c>
      <c r="AI68">
        <f t="shared" si="17"/>
        <v>167</v>
      </c>
      <c r="AJ68"/>
      <c r="AK68" s="94" t="s">
        <v>421</v>
      </c>
      <c r="AL68" s="94" t="s">
        <v>422</v>
      </c>
      <c r="AM68" s="94" t="s">
        <v>422</v>
      </c>
      <c r="AN68" s="94" t="s">
        <v>144</v>
      </c>
      <c r="AO68" s="94" t="s">
        <v>539</v>
      </c>
    </row>
    <row r="69" spans="15:41" x14ac:dyDescent="0.25">
      <c r="O69" s="60">
        <f t="shared" si="8"/>
        <v>46270</v>
      </c>
      <c r="P69" s="121">
        <f t="shared" si="18"/>
        <v>7</v>
      </c>
      <c r="Q69" s="189" t="str">
        <f t="shared" si="11"/>
        <v/>
      </c>
      <c r="R69" s="189" t="str">
        <f t="shared" si="11"/>
        <v/>
      </c>
      <c r="S69" s="189" t="str">
        <f t="shared" si="11"/>
        <v/>
      </c>
      <c r="T69" s="189" t="str">
        <f t="shared" si="11"/>
        <v/>
      </c>
      <c r="U69" s="189" t="str">
        <f t="shared" si="11"/>
        <v/>
      </c>
      <c r="V69" s="60">
        <f t="shared" si="19"/>
        <v>46270</v>
      </c>
      <c r="W69" s="121">
        <f t="shared" si="12"/>
        <v>7</v>
      </c>
      <c r="AD69" s="60">
        <f t="shared" si="9"/>
        <v>46270</v>
      </c>
      <c r="AE69">
        <f t="shared" si="13"/>
        <v>177</v>
      </c>
      <c r="AF69">
        <f t="shared" si="14"/>
        <v>177</v>
      </c>
      <c r="AG69">
        <f t="shared" si="15"/>
        <v>167</v>
      </c>
      <c r="AH69">
        <f t="shared" si="16"/>
        <v>167</v>
      </c>
      <c r="AI69">
        <f t="shared" si="17"/>
        <v>167</v>
      </c>
      <c r="AJ69"/>
      <c r="AK69" s="214" t="s">
        <v>366</v>
      </c>
      <c r="AL69" s="94" t="s">
        <v>581</v>
      </c>
      <c r="AM69" s="94" t="s">
        <v>582</v>
      </c>
      <c r="AN69" s="94" t="s">
        <v>88</v>
      </c>
      <c r="AO69" s="94" t="s">
        <v>585</v>
      </c>
    </row>
    <row r="70" spans="15:41" x14ac:dyDescent="0.25">
      <c r="O70" s="60">
        <f t="shared" ref="O70:O133" si="20">O69+1</f>
        <v>46271</v>
      </c>
      <c r="P70" s="121">
        <f t="shared" si="18"/>
        <v>1</v>
      </c>
      <c r="Q70" s="189" t="str">
        <f t="shared" si="11"/>
        <v/>
      </c>
      <c r="R70" s="189" t="str">
        <f t="shared" si="11"/>
        <v/>
      </c>
      <c r="S70" s="189" t="str">
        <f t="shared" si="11"/>
        <v/>
      </c>
      <c r="T70" s="189" t="str">
        <f t="shared" si="11"/>
        <v/>
      </c>
      <c r="U70" s="189" t="str">
        <f t="shared" si="11"/>
        <v/>
      </c>
      <c r="V70" s="60">
        <f t="shared" si="19"/>
        <v>46271</v>
      </c>
      <c r="W70" s="121">
        <f t="shared" si="12"/>
        <v>1</v>
      </c>
      <c r="AD70" s="60">
        <f t="shared" ref="AD70:AD133" si="21">AD69+1</f>
        <v>46271</v>
      </c>
      <c r="AE70">
        <f t="shared" si="13"/>
        <v>177</v>
      </c>
      <c r="AF70">
        <f t="shared" si="14"/>
        <v>177</v>
      </c>
      <c r="AG70">
        <f t="shared" si="15"/>
        <v>167</v>
      </c>
      <c r="AH70">
        <f t="shared" si="16"/>
        <v>167</v>
      </c>
      <c r="AI70">
        <f t="shared" si="17"/>
        <v>167</v>
      </c>
      <c r="AJ70"/>
      <c r="AK70" s="94" t="s">
        <v>423</v>
      </c>
      <c r="AL70" s="94" t="s">
        <v>424</v>
      </c>
      <c r="AM70" s="94" t="s">
        <v>113</v>
      </c>
      <c r="AN70" s="94" t="s">
        <v>97</v>
      </c>
      <c r="AO70" s="94" t="s">
        <v>540</v>
      </c>
    </row>
    <row r="71" spans="15:41" x14ac:dyDescent="0.25">
      <c r="O71" s="60">
        <f t="shared" si="20"/>
        <v>46272</v>
      </c>
      <c r="P71" s="121">
        <f t="shared" si="18"/>
        <v>2</v>
      </c>
      <c r="Q71" s="189" t="s">
        <v>190</v>
      </c>
      <c r="R71" s="189" t="s">
        <v>190</v>
      </c>
      <c r="S71" s="189" t="s">
        <v>190</v>
      </c>
      <c r="T71" s="189" t="s">
        <v>190</v>
      </c>
      <c r="U71" s="189" t="s">
        <v>190</v>
      </c>
      <c r="V71" s="60">
        <f t="shared" si="19"/>
        <v>46272</v>
      </c>
      <c r="W71" s="121">
        <f t="shared" si="12"/>
        <v>2</v>
      </c>
      <c r="AD71" s="60">
        <f t="shared" si="21"/>
        <v>46272</v>
      </c>
      <c r="AE71">
        <f t="shared" si="13"/>
        <v>177</v>
      </c>
      <c r="AF71">
        <f t="shared" si="14"/>
        <v>177</v>
      </c>
      <c r="AG71">
        <f t="shared" si="15"/>
        <v>167</v>
      </c>
      <c r="AH71">
        <f t="shared" si="16"/>
        <v>167</v>
      </c>
      <c r="AI71">
        <f t="shared" si="17"/>
        <v>167</v>
      </c>
      <c r="AJ71"/>
      <c r="AK71" s="94" t="s">
        <v>425</v>
      </c>
      <c r="AL71" s="94" t="s">
        <v>426</v>
      </c>
      <c r="AM71" s="94" t="s">
        <v>103</v>
      </c>
      <c r="AN71" s="94" t="s">
        <v>97</v>
      </c>
      <c r="AO71" s="94" t="s">
        <v>541</v>
      </c>
    </row>
    <row r="72" spans="15:41" x14ac:dyDescent="0.25">
      <c r="O72" s="60">
        <f t="shared" si="20"/>
        <v>46273</v>
      </c>
      <c r="P72" s="121">
        <f t="shared" si="18"/>
        <v>3</v>
      </c>
      <c r="Q72" s="189">
        <f t="shared" si="11"/>
        <v>1</v>
      </c>
      <c r="R72" s="189">
        <f t="shared" si="11"/>
        <v>1</v>
      </c>
      <c r="S72" s="189">
        <f t="shared" si="11"/>
        <v>1</v>
      </c>
      <c r="T72" s="189">
        <f t="shared" si="11"/>
        <v>1</v>
      </c>
      <c r="U72" s="189">
        <f t="shared" si="11"/>
        <v>1</v>
      </c>
      <c r="V72" s="60">
        <f t="shared" si="19"/>
        <v>46273</v>
      </c>
      <c r="W72" s="121">
        <f t="shared" si="12"/>
        <v>3</v>
      </c>
      <c r="AC72" t="s">
        <v>261</v>
      </c>
      <c r="AD72" s="60">
        <f t="shared" si="21"/>
        <v>46273</v>
      </c>
      <c r="AE72">
        <f t="shared" si="13"/>
        <v>176</v>
      </c>
      <c r="AF72">
        <f t="shared" si="14"/>
        <v>176</v>
      </c>
      <c r="AG72">
        <f t="shared" si="15"/>
        <v>166</v>
      </c>
      <c r="AH72">
        <f t="shared" si="16"/>
        <v>166</v>
      </c>
      <c r="AI72">
        <f t="shared" si="17"/>
        <v>166</v>
      </c>
      <c r="AJ72"/>
      <c r="AK72" s="94" t="s">
        <v>427</v>
      </c>
      <c r="AL72" s="94" t="s">
        <v>428</v>
      </c>
      <c r="AM72" s="94" t="s">
        <v>116</v>
      </c>
      <c r="AN72" s="94" t="s">
        <v>97</v>
      </c>
      <c r="AO72" s="94" t="s">
        <v>270</v>
      </c>
    </row>
    <row r="73" spans="15:41" x14ac:dyDescent="0.25">
      <c r="O73" s="60">
        <f t="shared" si="20"/>
        <v>46274</v>
      </c>
      <c r="P73" s="121">
        <f t="shared" si="18"/>
        <v>4</v>
      </c>
      <c r="Q73" s="189">
        <f t="shared" si="11"/>
        <v>1</v>
      </c>
      <c r="R73" s="189">
        <f t="shared" si="11"/>
        <v>1</v>
      </c>
      <c r="S73" s="189">
        <f t="shared" si="11"/>
        <v>1</v>
      </c>
      <c r="T73" s="189">
        <f t="shared" si="11"/>
        <v>1</v>
      </c>
      <c r="U73" s="189">
        <f t="shared" si="11"/>
        <v>1</v>
      </c>
      <c r="V73" s="60">
        <f t="shared" si="19"/>
        <v>46274</v>
      </c>
      <c r="W73" s="121">
        <f t="shared" si="12"/>
        <v>4</v>
      </c>
      <c r="AC73" t="s">
        <v>264</v>
      </c>
      <c r="AD73" s="60">
        <f t="shared" si="21"/>
        <v>46274</v>
      </c>
      <c r="AE73">
        <f t="shared" si="13"/>
        <v>175</v>
      </c>
      <c r="AF73">
        <f t="shared" si="14"/>
        <v>175</v>
      </c>
      <c r="AG73">
        <f t="shared" si="15"/>
        <v>165</v>
      </c>
      <c r="AH73">
        <f t="shared" si="16"/>
        <v>165</v>
      </c>
      <c r="AI73">
        <f t="shared" si="17"/>
        <v>165</v>
      </c>
      <c r="AJ73"/>
      <c r="AK73" s="94" t="s">
        <v>429</v>
      </c>
      <c r="AL73" s="94" t="s">
        <v>430</v>
      </c>
      <c r="AM73" s="94" t="s">
        <v>224</v>
      </c>
      <c r="AN73" s="94" t="s">
        <v>133</v>
      </c>
      <c r="AO73" s="94" t="s">
        <v>223</v>
      </c>
    </row>
    <row r="74" spans="15:41" x14ac:dyDescent="0.25">
      <c r="O74" s="60">
        <f t="shared" si="20"/>
        <v>46275</v>
      </c>
      <c r="P74" s="121">
        <f t="shared" si="18"/>
        <v>5</v>
      </c>
      <c r="Q74" s="189">
        <f t="shared" si="11"/>
        <v>1</v>
      </c>
      <c r="R74" s="189">
        <f t="shared" si="11"/>
        <v>1</v>
      </c>
      <c r="S74" s="189">
        <f t="shared" si="11"/>
        <v>1</v>
      </c>
      <c r="T74" s="189">
        <f t="shared" si="11"/>
        <v>1</v>
      </c>
      <c r="U74" s="189">
        <f t="shared" si="11"/>
        <v>1</v>
      </c>
      <c r="V74" s="60">
        <f t="shared" si="19"/>
        <v>46275</v>
      </c>
      <c r="W74" s="121">
        <f t="shared" si="12"/>
        <v>5</v>
      </c>
      <c r="AC74" t="s">
        <v>261</v>
      </c>
      <c r="AD74" s="60">
        <f t="shared" si="21"/>
        <v>46275</v>
      </c>
      <c r="AE74">
        <f t="shared" si="13"/>
        <v>174</v>
      </c>
      <c r="AF74">
        <f t="shared" si="14"/>
        <v>174</v>
      </c>
      <c r="AG74">
        <f t="shared" si="15"/>
        <v>164</v>
      </c>
      <c r="AH74">
        <f t="shared" si="16"/>
        <v>164</v>
      </c>
      <c r="AI74">
        <f t="shared" si="17"/>
        <v>164</v>
      </c>
      <c r="AJ74"/>
      <c r="AK74" s="94" t="s">
        <v>431</v>
      </c>
      <c r="AL74" s="94" t="s">
        <v>432</v>
      </c>
      <c r="AM74" s="94" t="s">
        <v>221</v>
      </c>
      <c r="AN74" s="94" t="s">
        <v>97</v>
      </c>
      <c r="AO74" s="94" t="s">
        <v>271</v>
      </c>
    </row>
    <row r="75" spans="15:41" x14ac:dyDescent="0.25">
      <c r="O75" s="60">
        <f t="shared" si="20"/>
        <v>46276</v>
      </c>
      <c r="P75" s="121">
        <f t="shared" si="18"/>
        <v>6</v>
      </c>
      <c r="Q75" s="189">
        <f t="shared" si="11"/>
        <v>1</v>
      </c>
      <c r="R75" s="189">
        <f t="shared" si="11"/>
        <v>1</v>
      </c>
      <c r="S75" s="189">
        <f t="shared" si="11"/>
        <v>1</v>
      </c>
      <c r="T75" s="189">
        <f t="shared" si="11"/>
        <v>1</v>
      </c>
      <c r="U75" s="189">
        <f t="shared" si="11"/>
        <v>1</v>
      </c>
      <c r="V75" s="60">
        <f t="shared" si="19"/>
        <v>46276</v>
      </c>
      <c r="W75" s="121">
        <f t="shared" si="12"/>
        <v>6</v>
      </c>
      <c r="AC75" t="s">
        <v>264</v>
      </c>
      <c r="AD75" s="60">
        <f t="shared" si="21"/>
        <v>46276</v>
      </c>
      <c r="AE75">
        <f t="shared" si="13"/>
        <v>173</v>
      </c>
      <c r="AF75">
        <f t="shared" si="14"/>
        <v>173</v>
      </c>
      <c r="AG75">
        <f t="shared" si="15"/>
        <v>163</v>
      </c>
      <c r="AH75">
        <f t="shared" si="16"/>
        <v>163</v>
      </c>
      <c r="AI75">
        <f t="shared" si="17"/>
        <v>163</v>
      </c>
      <c r="AJ75"/>
      <c r="AK75" s="94" t="s">
        <v>433</v>
      </c>
      <c r="AL75" s="94" t="s">
        <v>434</v>
      </c>
      <c r="AM75" s="94" t="s">
        <v>172</v>
      </c>
      <c r="AN75" s="94" t="s">
        <v>144</v>
      </c>
      <c r="AO75" s="94" t="s">
        <v>173</v>
      </c>
    </row>
    <row r="76" spans="15:41" x14ac:dyDescent="0.25">
      <c r="O76" s="60">
        <f t="shared" si="20"/>
        <v>46277</v>
      </c>
      <c r="P76" s="121">
        <f t="shared" si="18"/>
        <v>7</v>
      </c>
      <c r="Q76" s="189" t="str">
        <f t="shared" si="11"/>
        <v/>
      </c>
      <c r="R76" s="189" t="str">
        <f t="shared" si="11"/>
        <v/>
      </c>
      <c r="S76" s="189" t="str">
        <f t="shared" si="11"/>
        <v/>
      </c>
      <c r="T76" s="189" t="str">
        <f t="shared" si="11"/>
        <v/>
      </c>
      <c r="U76" s="189" t="str">
        <f t="shared" si="11"/>
        <v/>
      </c>
      <c r="V76" s="60">
        <f t="shared" si="19"/>
        <v>46277</v>
      </c>
      <c r="W76" s="121">
        <f t="shared" si="12"/>
        <v>7</v>
      </c>
      <c r="AD76" s="60">
        <f t="shared" si="21"/>
        <v>46277</v>
      </c>
      <c r="AE76">
        <f t="shared" si="13"/>
        <v>173</v>
      </c>
      <c r="AF76">
        <f t="shared" si="14"/>
        <v>173</v>
      </c>
      <c r="AG76">
        <f t="shared" si="15"/>
        <v>163</v>
      </c>
      <c r="AH76">
        <f t="shared" si="16"/>
        <v>163</v>
      </c>
      <c r="AI76">
        <f t="shared" si="17"/>
        <v>163</v>
      </c>
      <c r="AJ76"/>
      <c r="AK76" s="94" t="s">
        <v>435</v>
      </c>
      <c r="AL76" s="94" t="s">
        <v>436</v>
      </c>
      <c r="AM76" s="94" t="s">
        <v>115</v>
      </c>
      <c r="AN76" s="94" t="s">
        <v>97</v>
      </c>
      <c r="AO76" s="94" t="s">
        <v>542</v>
      </c>
    </row>
    <row r="77" spans="15:41" x14ac:dyDescent="0.25">
      <c r="O77" s="60">
        <f t="shared" si="20"/>
        <v>46278</v>
      </c>
      <c r="P77" s="121">
        <f t="shared" si="18"/>
        <v>1</v>
      </c>
      <c r="Q77" s="189" t="str">
        <f t="shared" si="11"/>
        <v/>
      </c>
      <c r="R77" s="189" t="str">
        <f t="shared" si="11"/>
        <v/>
      </c>
      <c r="S77" s="189" t="str">
        <f t="shared" si="11"/>
        <v/>
      </c>
      <c r="T77" s="189" t="str">
        <f t="shared" si="11"/>
        <v/>
      </c>
      <c r="U77" s="189" t="str">
        <f t="shared" si="11"/>
        <v/>
      </c>
      <c r="V77" s="60">
        <f t="shared" si="19"/>
        <v>46278</v>
      </c>
      <c r="W77" s="121">
        <f t="shared" si="12"/>
        <v>1</v>
      </c>
      <c r="AD77" s="60">
        <f t="shared" si="21"/>
        <v>46278</v>
      </c>
      <c r="AE77">
        <f t="shared" si="13"/>
        <v>173</v>
      </c>
      <c r="AF77">
        <f t="shared" si="14"/>
        <v>173</v>
      </c>
      <c r="AG77">
        <f t="shared" si="15"/>
        <v>163</v>
      </c>
      <c r="AH77">
        <f t="shared" si="16"/>
        <v>163</v>
      </c>
      <c r="AI77">
        <f t="shared" si="17"/>
        <v>163</v>
      </c>
      <c r="AJ77"/>
      <c r="AK77" s="94" t="s">
        <v>437</v>
      </c>
      <c r="AL77" s="94" t="s">
        <v>438</v>
      </c>
      <c r="AM77" s="94" t="s">
        <v>272</v>
      </c>
      <c r="AN77" s="94" t="s">
        <v>88</v>
      </c>
      <c r="AO77" s="94" t="s">
        <v>273</v>
      </c>
    </row>
    <row r="78" spans="15:41" x14ac:dyDescent="0.25">
      <c r="O78" s="60">
        <f t="shared" si="20"/>
        <v>46279</v>
      </c>
      <c r="P78" s="121">
        <f t="shared" si="18"/>
        <v>2</v>
      </c>
      <c r="Q78" s="189">
        <f t="shared" si="11"/>
        <v>1</v>
      </c>
      <c r="R78" s="189">
        <f t="shared" si="11"/>
        <v>1</v>
      </c>
      <c r="S78" s="189">
        <f t="shared" si="11"/>
        <v>1</v>
      </c>
      <c r="T78" s="189">
        <f t="shared" si="11"/>
        <v>1</v>
      </c>
      <c r="U78" s="189">
        <f t="shared" si="11"/>
        <v>1</v>
      </c>
      <c r="V78" s="60">
        <f t="shared" si="19"/>
        <v>46279</v>
      </c>
      <c r="W78" s="121">
        <f t="shared" si="12"/>
        <v>2</v>
      </c>
      <c r="AC78" t="s">
        <v>261</v>
      </c>
      <c r="AD78" s="60">
        <f t="shared" si="21"/>
        <v>46279</v>
      </c>
      <c r="AE78">
        <f t="shared" si="13"/>
        <v>172</v>
      </c>
      <c r="AF78">
        <f t="shared" si="14"/>
        <v>172</v>
      </c>
      <c r="AG78">
        <f t="shared" si="15"/>
        <v>162</v>
      </c>
      <c r="AH78">
        <f t="shared" si="16"/>
        <v>162</v>
      </c>
      <c r="AI78">
        <f t="shared" si="17"/>
        <v>162</v>
      </c>
      <c r="AJ78"/>
      <c r="AK78" s="94" t="s">
        <v>439</v>
      </c>
      <c r="AL78" s="94" t="s">
        <v>440</v>
      </c>
      <c r="AM78" s="94" t="s">
        <v>274</v>
      </c>
      <c r="AN78" s="94" t="s">
        <v>88</v>
      </c>
      <c r="AO78" s="94" t="s">
        <v>275</v>
      </c>
    </row>
    <row r="79" spans="15:41" x14ac:dyDescent="0.25">
      <c r="O79" s="60">
        <f t="shared" si="20"/>
        <v>46280</v>
      </c>
      <c r="P79" s="121">
        <f t="shared" si="18"/>
        <v>3</v>
      </c>
      <c r="Q79" s="189">
        <f t="shared" si="11"/>
        <v>1</v>
      </c>
      <c r="R79" s="189">
        <f t="shared" si="11"/>
        <v>1</v>
      </c>
      <c r="S79" s="189">
        <f t="shared" si="11"/>
        <v>1</v>
      </c>
      <c r="T79" s="189">
        <f t="shared" si="11"/>
        <v>1</v>
      </c>
      <c r="U79" s="189">
        <f t="shared" si="11"/>
        <v>1</v>
      </c>
      <c r="V79" s="60">
        <f t="shared" si="19"/>
        <v>46280</v>
      </c>
      <c r="W79" s="121">
        <f t="shared" si="12"/>
        <v>3</v>
      </c>
      <c r="AC79" t="s">
        <v>264</v>
      </c>
      <c r="AD79" s="60">
        <f t="shared" si="21"/>
        <v>46280</v>
      </c>
      <c r="AE79">
        <f t="shared" si="13"/>
        <v>171</v>
      </c>
      <c r="AF79">
        <f t="shared" si="14"/>
        <v>171</v>
      </c>
      <c r="AG79">
        <f t="shared" si="15"/>
        <v>161</v>
      </c>
      <c r="AH79">
        <f t="shared" si="16"/>
        <v>161</v>
      </c>
      <c r="AI79">
        <f t="shared" si="17"/>
        <v>161</v>
      </c>
      <c r="AJ79"/>
      <c r="AK79" s="94" t="s">
        <v>583</v>
      </c>
      <c r="AL79" s="94" t="s">
        <v>563</v>
      </c>
      <c r="AM79" s="94" t="s">
        <v>564</v>
      </c>
      <c r="AN79" s="94" t="s">
        <v>97</v>
      </c>
      <c r="AO79" s="94" t="s">
        <v>543</v>
      </c>
    </row>
    <row r="80" spans="15:41" x14ac:dyDescent="0.25">
      <c r="O80" s="60">
        <f t="shared" si="20"/>
        <v>46281</v>
      </c>
      <c r="P80" s="121">
        <f t="shared" si="18"/>
        <v>4</v>
      </c>
      <c r="Q80" s="189">
        <f t="shared" si="11"/>
        <v>1</v>
      </c>
      <c r="R80" s="189">
        <f t="shared" si="11"/>
        <v>1</v>
      </c>
      <c r="S80" s="189">
        <f t="shared" si="11"/>
        <v>1</v>
      </c>
      <c r="T80" s="189">
        <f t="shared" si="11"/>
        <v>1</v>
      </c>
      <c r="U80" s="189">
        <f t="shared" si="11"/>
        <v>1</v>
      </c>
      <c r="V80" s="60">
        <f t="shared" si="19"/>
        <v>46281</v>
      </c>
      <c r="W80" s="121">
        <f t="shared" si="12"/>
        <v>4</v>
      </c>
      <c r="AC80" t="s">
        <v>261</v>
      </c>
      <c r="AD80" s="60">
        <f t="shared" si="21"/>
        <v>46281</v>
      </c>
      <c r="AE80">
        <f t="shared" si="13"/>
        <v>170</v>
      </c>
      <c r="AF80">
        <f t="shared" si="14"/>
        <v>170</v>
      </c>
      <c r="AG80">
        <f t="shared" si="15"/>
        <v>160</v>
      </c>
      <c r="AH80">
        <f t="shared" si="16"/>
        <v>160</v>
      </c>
      <c r="AI80">
        <f t="shared" si="17"/>
        <v>160</v>
      </c>
      <c r="AJ80"/>
      <c r="AK80" s="94" t="s">
        <v>441</v>
      </c>
      <c r="AL80" s="94" t="s">
        <v>442</v>
      </c>
      <c r="AM80" s="94" t="s">
        <v>99</v>
      </c>
      <c r="AN80" s="94" t="s">
        <v>97</v>
      </c>
      <c r="AO80" s="94" t="s">
        <v>565</v>
      </c>
    </row>
    <row r="81" spans="15:41" x14ac:dyDescent="0.25">
      <c r="O81" s="60">
        <f t="shared" si="20"/>
        <v>46282</v>
      </c>
      <c r="P81" s="121">
        <f t="shared" si="18"/>
        <v>5</v>
      </c>
      <c r="Q81" s="189">
        <f t="shared" si="11"/>
        <v>1</v>
      </c>
      <c r="R81" s="189">
        <f t="shared" si="11"/>
        <v>1</v>
      </c>
      <c r="S81" s="189">
        <f t="shared" si="11"/>
        <v>1</v>
      </c>
      <c r="T81" s="189">
        <f t="shared" si="11"/>
        <v>1</v>
      </c>
      <c r="U81" s="189">
        <f t="shared" si="11"/>
        <v>1</v>
      </c>
      <c r="V81" s="60">
        <f t="shared" si="19"/>
        <v>46282</v>
      </c>
      <c r="W81" s="121">
        <f t="shared" si="12"/>
        <v>5</v>
      </c>
      <c r="AC81" t="s">
        <v>264</v>
      </c>
      <c r="AD81" s="60">
        <f t="shared" si="21"/>
        <v>46282</v>
      </c>
      <c r="AE81">
        <f t="shared" si="13"/>
        <v>169</v>
      </c>
      <c r="AF81">
        <f t="shared" si="14"/>
        <v>169</v>
      </c>
      <c r="AG81">
        <f t="shared" si="15"/>
        <v>159</v>
      </c>
      <c r="AH81">
        <f t="shared" si="16"/>
        <v>159</v>
      </c>
      <c r="AI81">
        <f t="shared" si="17"/>
        <v>159</v>
      </c>
      <c r="AJ81"/>
      <c r="AK81" s="94" t="s">
        <v>443</v>
      </c>
      <c r="AL81" s="94" t="s">
        <v>444</v>
      </c>
      <c r="AM81" s="94" t="s">
        <v>117</v>
      </c>
      <c r="AN81" s="94" t="s">
        <v>97</v>
      </c>
      <c r="AO81" s="94" t="s">
        <v>544</v>
      </c>
    </row>
    <row r="82" spans="15:41" x14ac:dyDescent="0.25">
      <c r="O82" s="60">
        <f t="shared" si="20"/>
        <v>46283</v>
      </c>
      <c r="P82" s="121">
        <f t="shared" si="18"/>
        <v>6</v>
      </c>
      <c r="Q82" s="189">
        <f t="shared" si="11"/>
        <v>1</v>
      </c>
      <c r="R82" s="189">
        <f t="shared" si="11"/>
        <v>1</v>
      </c>
      <c r="S82" s="189">
        <f t="shared" si="11"/>
        <v>1</v>
      </c>
      <c r="T82" s="189">
        <f t="shared" si="11"/>
        <v>1</v>
      </c>
      <c r="U82" s="189">
        <f t="shared" si="11"/>
        <v>1</v>
      </c>
      <c r="V82" s="60">
        <f t="shared" si="19"/>
        <v>46283</v>
      </c>
      <c r="W82" s="121">
        <f t="shared" si="12"/>
        <v>6</v>
      </c>
      <c r="AC82" t="s">
        <v>261</v>
      </c>
      <c r="AD82" s="60">
        <f t="shared" si="21"/>
        <v>46283</v>
      </c>
      <c r="AE82">
        <f t="shared" si="13"/>
        <v>168</v>
      </c>
      <c r="AF82">
        <f t="shared" si="14"/>
        <v>168</v>
      </c>
      <c r="AG82">
        <f t="shared" si="15"/>
        <v>158</v>
      </c>
      <c r="AH82">
        <f t="shared" si="16"/>
        <v>158</v>
      </c>
      <c r="AI82">
        <f t="shared" si="17"/>
        <v>158</v>
      </c>
      <c r="AJ82"/>
      <c r="AK82" s="94" t="s">
        <v>445</v>
      </c>
      <c r="AL82" s="94" t="s">
        <v>446</v>
      </c>
      <c r="AM82" s="94" t="s">
        <v>134</v>
      </c>
      <c r="AN82" s="94" t="s">
        <v>133</v>
      </c>
      <c r="AO82" s="94" t="s">
        <v>160</v>
      </c>
    </row>
    <row r="83" spans="15:41" x14ac:dyDescent="0.25">
      <c r="O83" s="60">
        <f t="shared" si="20"/>
        <v>46284</v>
      </c>
      <c r="P83" s="121">
        <f t="shared" si="18"/>
        <v>7</v>
      </c>
      <c r="Q83" s="189" t="str">
        <f t="shared" si="11"/>
        <v/>
      </c>
      <c r="R83" s="189" t="str">
        <f t="shared" si="11"/>
        <v/>
      </c>
      <c r="S83" s="189" t="str">
        <f t="shared" si="11"/>
        <v/>
      </c>
      <c r="T83" s="189" t="str">
        <f t="shared" si="11"/>
        <v/>
      </c>
      <c r="U83" s="189" t="str">
        <f t="shared" si="11"/>
        <v/>
      </c>
      <c r="V83" s="60">
        <f t="shared" si="19"/>
        <v>46284</v>
      </c>
      <c r="W83" s="121">
        <f t="shared" si="12"/>
        <v>7</v>
      </c>
      <c r="AD83" s="60">
        <f t="shared" si="21"/>
        <v>46284</v>
      </c>
      <c r="AE83">
        <f t="shared" si="13"/>
        <v>168</v>
      </c>
      <c r="AF83">
        <f t="shared" si="14"/>
        <v>168</v>
      </c>
      <c r="AG83">
        <f t="shared" si="15"/>
        <v>158</v>
      </c>
      <c r="AH83">
        <f t="shared" si="16"/>
        <v>158</v>
      </c>
      <c r="AI83">
        <f t="shared" si="17"/>
        <v>158</v>
      </c>
      <c r="AJ83"/>
      <c r="AK83" s="94" t="s">
        <v>447</v>
      </c>
      <c r="AL83" s="94" t="s">
        <v>276</v>
      </c>
      <c r="AM83" s="94" t="s">
        <v>276</v>
      </c>
      <c r="AN83" s="94" t="s">
        <v>88</v>
      </c>
      <c r="AO83" s="94" t="s">
        <v>277</v>
      </c>
    </row>
    <row r="84" spans="15:41" x14ac:dyDescent="0.25">
      <c r="O84" s="60">
        <f t="shared" si="20"/>
        <v>46285</v>
      </c>
      <c r="P84" s="121">
        <f t="shared" si="18"/>
        <v>1</v>
      </c>
      <c r="Q84" s="189" t="str">
        <f t="shared" si="11"/>
        <v/>
      </c>
      <c r="R84" s="189" t="str">
        <f t="shared" si="11"/>
        <v/>
      </c>
      <c r="S84" s="189" t="str">
        <f t="shared" si="11"/>
        <v/>
      </c>
      <c r="T84" s="189" t="str">
        <f t="shared" si="11"/>
        <v/>
      </c>
      <c r="U84" s="189" t="str">
        <f t="shared" si="11"/>
        <v/>
      </c>
      <c r="V84" s="60">
        <f t="shared" si="19"/>
        <v>46285</v>
      </c>
      <c r="W84" s="121">
        <f t="shared" si="12"/>
        <v>1</v>
      </c>
      <c r="AD84" s="60">
        <f t="shared" si="21"/>
        <v>46285</v>
      </c>
      <c r="AE84">
        <f t="shared" si="13"/>
        <v>168</v>
      </c>
      <c r="AF84">
        <f t="shared" si="14"/>
        <v>168</v>
      </c>
      <c r="AG84">
        <f t="shared" si="15"/>
        <v>158</v>
      </c>
      <c r="AH84">
        <f t="shared" si="16"/>
        <v>158</v>
      </c>
      <c r="AI84">
        <f t="shared" si="17"/>
        <v>158</v>
      </c>
      <c r="AJ84"/>
      <c r="AK84" s="94" t="s">
        <v>448</v>
      </c>
      <c r="AL84" s="94" t="s">
        <v>449</v>
      </c>
      <c r="AM84" s="94" t="s">
        <v>92</v>
      </c>
      <c r="AN84" s="94" t="s">
        <v>88</v>
      </c>
      <c r="AO84" s="94" t="s">
        <v>545</v>
      </c>
    </row>
    <row r="85" spans="15:41" x14ac:dyDescent="0.25">
      <c r="O85" s="60">
        <f t="shared" si="20"/>
        <v>46286</v>
      </c>
      <c r="P85" s="121">
        <f t="shared" si="18"/>
        <v>2</v>
      </c>
      <c r="Q85" s="189">
        <f t="shared" si="11"/>
        <v>1</v>
      </c>
      <c r="R85" s="189">
        <f t="shared" si="11"/>
        <v>1</v>
      </c>
      <c r="S85" s="189">
        <f t="shared" si="11"/>
        <v>1</v>
      </c>
      <c r="T85" s="189">
        <f t="shared" si="11"/>
        <v>1</v>
      </c>
      <c r="U85" s="189">
        <f t="shared" si="11"/>
        <v>1</v>
      </c>
      <c r="V85" s="60">
        <f t="shared" si="19"/>
        <v>46286</v>
      </c>
      <c r="W85" s="121">
        <f t="shared" si="12"/>
        <v>2</v>
      </c>
      <c r="AC85" t="s">
        <v>264</v>
      </c>
      <c r="AD85" s="60">
        <f t="shared" si="21"/>
        <v>46286</v>
      </c>
      <c r="AE85">
        <f t="shared" si="13"/>
        <v>167</v>
      </c>
      <c r="AF85">
        <f t="shared" si="14"/>
        <v>167</v>
      </c>
      <c r="AG85">
        <f t="shared" si="15"/>
        <v>157</v>
      </c>
      <c r="AH85">
        <f t="shared" si="16"/>
        <v>157</v>
      </c>
      <c r="AI85">
        <f t="shared" si="17"/>
        <v>157</v>
      </c>
      <c r="AJ85"/>
      <c r="AK85" s="94" t="s">
        <v>450</v>
      </c>
      <c r="AL85" s="94" t="s">
        <v>451</v>
      </c>
      <c r="AM85" s="94" t="s">
        <v>153</v>
      </c>
      <c r="AN85" s="94" t="s">
        <v>269</v>
      </c>
      <c r="AO85" s="94" t="s">
        <v>177</v>
      </c>
    </row>
    <row r="86" spans="15:41" x14ac:dyDescent="0.25">
      <c r="O86" s="60">
        <f t="shared" si="20"/>
        <v>46287</v>
      </c>
      <c r="P86" s="121">
        <f t="shared" si="18"/>
        <v>3</v>
      </c>
      <c r="Q86" s="189">
        <f t="shared" si="11"/>
        <v>1</v>
      </c>
      <c r="R86" s="189">
        <f t="shared" si="11"/>
        <v>1</v>
      </c>
      <c r="S86" s="189">
        <f t="shared" si="11"/>
        <v>1</v>
      </c>
      <c r="T86" s="189">
        <f t="shared" si="11"/>
        <v>1</v>
      </c>
      <c r="U86" s="189">
        <f t="shared" si="11"/>
        <v>1</v>
      </c>
      <c r="V86" s="60">
        <f t="shared" si="19"/>
        <v>46287</v>
      </c>
      <c r="W86" s="121">
        <f t="shared" si="12"/>
        <v>3</v>
      </c>
      <c r="AC86" t="s">
        <v>261</v>
      </c>
      <c r="AD86" s="60">
        <f t="shared" si="21"/>
        <v>46287</v>
      </c>
      <c r="AE86">
        <f t="shared" si="13"/>
        <v>166</v>
      </c>
      <c r="AF86">
        <f t="shared" si="14"/>
        <v>166</v>
      </c>
      <c r="AG86">
        <f t="shared" si="15"/>
        <v>156</v>
      </c>
      <c r="AH86">
        <f t="shared" si="16"/>
        <v>156</v>
      </c>
      <c r="AI86">
        <f t="shared" si="17"/>
        <v>156</v>
      </c>
      <c r="AJ86"/>
      <c r="AK86" s="94" t="s">
        <v>452</v>
      </c>
      <c r="AL86" s="94" t="s">
        <v>278</v>
      </c>
      <c r="AM86" s="94" t="s">
        <v>278</v>
      </c>
      <c r="AN86" s="94" t="s">
        <v>88</v>
      </c>
      <c r="AO86" s="94" t="s">
        <v>279</v>
      </c>
    </row>
    <row r="87" spans="15:41" x14ac:dyDescent="0.25">
      <c r="O87" s="60">
        <f t="shared" si="20"/>
        <v>46288</v>
      </c>
      <c r="P87" s="121">
        <f t="shared" si="18"/>
        <v>4</v>
      </c>
      <c r="Q87" s="189">
        <f t="shared" si="11"/>
        <v>1</v>
      </c>
      <c r="R87" s="189">
        <f t="shared" si="11"/>
        <v>1</v>
      </c>
      <c r="S87" s="189">
        <f t="shared" si="11"/>
        <v>1</v>
      </c>
      <c r="T87" s="189">
        <f t="shared" si="11"/>
        <v>1</v>
      </c>
      <c r="U87" s="189">
        <f t="shared" si="11"/>
        <v>1</v>
      </c>
      <c r="V87" s="60">
        <f t="shared" si="19"/>
        <v>46288</v>
      </c>
      <c r="W87" s="121">
        <f t="shared" si="12"/>
        <v>4</v>
      </c>
      <c r="AA87" t="s">
        <v>191</v>
      </c>
      <c r="AC87" t="s">
        <v>264</v>
      </c>
      <c r="AD87" s="60">
        <f t="shared" si="21"/>
        <v>46288</v>
      </c>
      <c r="AE87">
        <f t="shared" si="13"/>
        <v>165</v>
      </c>
      <c r="AF87">
        <f t="shared" si="14"/>
        <v>165</v>
      </c>
      <c r="AG87">
        <f t="shared" si="15"/>
        <v>155</v>
      </c>
      <c r="AH87">
        <f t="shared" si="16"/>
        <v>155</v>
      </c>
      <c r="AI87">
        <f t="shared" si="17"/>
        <v>155</v>
      </c>
      <c r="AJ87"/>
      <c r="AK87" s="94" t="s">
        <v>453</v>
      </c>
      <c r="AL87" s="94" t="s">
        <v>454</v>
      </c>
      <c r="AM87" s="94" t="s">
        <v>220</v>
      </c>
      <c r="AN87" s="94" t="s">
        <v>97</v>
      </c>
      <c r="AO87" s="94" t="s">
        <v>546</v>
      </c>
    </row>
    <row r="88" spans="15:41" x14ac:dyDescent="0.25">
      <c r="O88" s="60">
        <f t="shared" si="20"/>
        <v>46289</v>
      </c>
      <c r="P88" s="121">
        <f t="shared" si="18"/>
        <v>5</v>
      </c>
      <c r="Q88" s="189">
        <f t="shared" si="11"/>
        <v>1</v>
      </c>
      <c r="R88" s="189">
        <f t="shared" si="11"/>
        <v>1</v>
      </c>
      <c r="S88" s="189">
        <f t="shared" si="11"/>
        <v>1</v>
      </c>
      <c r="T88" s="189">
        <f t="shared" si="11"/>
        <v>1</v>
      </c>
      <c r="U88" s="189">
        <f t="shared" si="11"/>
        <v>1</v>
      </c>
      <c r="V88" s="60">
        <f t="shared" si="19"/>
        <v>46289</v>
      </c>
      <c r="W88" s="121">
        <f t="shared" si="12"/>
        <v>5</v>
      </c>
      <c r="AA88" t="s">
        <v>191</v>
      </c>
      <c r="AC88" t="s">
        <v>261</v>
      </c>
      <c r="AD88" s="60">
        <f t="shared" si="21"/>
        <v>46289</v>
      </c>
      <c r="AE88">
        <f t="shared" si="13"/>
        <v>164</v>
      </c>
      <c r="AF88">
        <f t="shared" si="14"/>
        <v>164</v>
      </c>
      <c r="AG88">
        <f t="shared" si="15"/>
        <v>154</v>
      </c>
      <c r="AH88">
        <f t="shared" si="16"/>
        <v>154</v>
      </c>
      <c r="AI88">
        <f t="shared" si="17"/>
        <v>154</v>
      </c>
      <c r="AJ88"/>
      <c r="AK88" s="94" t="s">
        <v>455</v>
      </c>
      <c r="AL88" s="94" t="s">
        <v>155</v>
      </c>
      <c r="AM88" s="94" t="s">
        <v>155</v>
      </c>
      <c r="AN88" s="94" t="s">
        <v>269</v>
      </c>
      <c r="AO88" s="94" t="s">
        <v>547</v>
      </c>
    </row>
    <row r="89" spans="15:41" x14ac:dyDescent="0.25">
      <c r="O89" s="60">
        <f t="shared" si="20"/>
        <v>46290</v>
      </c>
      <c r="P89" s="121">
        <f t="shared" si="18"/>
        <v>6</v>
      </c>
      <c r="Q89" s="189">
        <f t="shared" si="11"/>
        <v>1</v>
      </c>
      <c r="R89" s="189">
        <f t="shared" si="11"/>
        <v>1</v>
      </c>
      <c r="S89" s="189">
        <f t="shared" si="11"/>
        <v>1</v>
      </c>
      <c r="T89" s="189">
        <f t="shared" si="11"/>
        <v>1</v>
      </c>
      <c r="U89" s="189">
        <f t="shared" si="11"/>
        <v>1</v>
      </c>
      <c r="V89" s="60">
        <f t="shared" si="19"/>
        <v>46290</v>
      </c>
      <c r="W89" s="121">
        <f t="shared" si="12"/>
        <v>6</v>
      </c>
      <c r="X89" t="s">
        <v>574</v>
      </c>
      <c r="Y89" t="s">
        <v>574</v>
      </c>
      <c r="Z89" t="s">
        <v>576</v>
      </c>
      <c r="AA89" t="s">
        <v>574</v>
      </c>
      <c r="AB89" t="s">
        <v>576</v>
      </c>
      <c r="AD89" s="60">
        <f t="shared" si="21"/>
        <v>46290</v>
      </c>
      <c r="AE89">
        <f t="shared" si="13"/>
        <v>163</v>
      </c>
      <c r="AF89">
        <f t="shared" si="14"/>
        <v>163</v>
      </c>
      <c r="AG89">
        <f t="shared" si="15"/>
        <v>153</v>
      </c>
      <c r="AH89">
        <f t="shared" si="16"/>
        <v>153</v>
      </c>
      <c r="AI89">
        <f t="shared" si="17"/>
        <v>153</v>
      </c>
      <c r="AJ89"/>
      <c r="AK89" s="94" t="s">
        <v>456</v>
      </c>
      <c r="AL89" s="94" t="s">
        <v>457</v>
      </c>
      <c r="AM89" s="94" t="s">
        <v>119</v>
      </c>
      <c r="AN89" s="94" t="s">
        <v>97</v>
      </c>
      <c r="AO89" s="94" t="s">
        <v>548</v>
      </c>
    </row>
    <row r="90" spans="15:41" x14ac:dyDescent="0.25">
      <c r="O90" s="60">
        <f t="shared" si="20"/>
        <v>46291</v>
      </c>
      <c r="P90" s="121">
        <f t="shared" si="18"/>
        <v>7</v>
      </c>
      <c r="Q90" s="189" t="str">
        <f t="shared" si="11"/>
        <v/>
      </c>
      <c r="R90" s="189" t="str">
        <f t="shared" si="11"/>
        <v/>
      </c>
      <c r="S90" s="189" t="str">
        <f t="shared" si="11"/>
        <v/>
      </c>
      <c r="T90" s="189" t="str">
        <f t="shared" si="11"/>
        <v/>
      </c>
      <c r="U90" s="189" t="str">
        <f t="shared" si="11"/>
        <v/>
      </c>
      <c r="V90" s="60">
        <f t="shared" si="19"/>
        <v>46291</v>
      </c>
      <c r="W90" s="121">
        <f t="shared" si="12"/>
        <v>7</v>
      </c>
      <c r="AD90" s="60">
        <f t="shared" si="21"/>
        <v>46291</v>
      </c>
      <c r="AE90">
        <f t="shared" si="13"/>
        <v>163</v>
      </c>
      <c r="AF90">
        <f t="shared" si="14"/>
        <v>163</v>
      </c>
      <c r="AG90">
        <f t="shared" si="15"/>
        <v>153</v>
      </c>
      <c r="AH90">
        <f t="shared" si="16"/>
        <v>153</v>
      </c>
      <c r="AI90">
        <f t="shared" si="17"/>
        <v>153</v>
      </c>
      <c r="AJ90"/>
      <c r="AK90" s="94" t="s">
        <v>458</v>
      </c>
      <c r="AL90" s="94" t="s">
        <v>459</v>
      </c>
      <c r="AM90" s="94" t="s">
        <v>118</v>
      </c>
      <c r="AN90" s="94" t="s">
        <v>97</v>
      </c>
      <c r="AO90" s="94" t="s">
        <v>549</v>
      </c>
    </row>
    <row r="91" spans="15:41" x14ac:dyDescent="0.25">
      <c r="O91" s="60">
        <f t="shared" si="20"/>
        <v>46292</v>
      </c>
      <c r="P91" s="121">
        <f t="shared" si="18"/>
        <v>1</v>
      </c>
      <c r="Q91" s="189" t="str">
        <f t="shared" si="11"/>
        <v/>
      </c>
      <c r="R91" s="189" t="str">
        <f t="shared" si="11"/>
        <v/>
      </c>
      <c r="S91" s="189" t="str">
        <f t="shared" si="11"/>
        <v/>
      </c>
      <c r="T91" s="189" t="str">
        <f t="shared" si="11"/>
        <v/>
      </c>
      <c r="U91" s="189" t="str">
        <f t="shared" si="11"/>
        <v/>
      </c>
      <c r="V91" s="60">
        <f t="shared" si="19"/>
        <v>46292</v>
      </c>
      <c r="W91" s="121">
        <f t="shared" si="12"/>
        <v>1</v>
      </c>
      <c r="AD91" s="60">
        <f t="shared" si="21"/>
        <v>46292</v>
      </c>
      <c r="AE91">
        <f t="shared" si="13"/>
        <v>163</v>
      </c>
      <c r="AF91">
        <f t="shared" si="14"/>
        <v>163</v>
      </c>
      <c r="AG91">
        <f t="shared" si="15"/>
        <v>153</v>
      </c>
      <c r="AH91">
        <f t="shared" si="16"/>
        <v>153</v>
      </c>
      <c r="AI91">
        <f t="shared" si="17"/>
        <v>153</v>
      </c>
      <c r="AJ91"/>
      <c r="AK91" s="94" t="s">
        <v>460</v>
      </c>
      <c r="AL91" s="94" t="s">
        <v>147</v>
      </c>
      <c r="AM91" s="94" t="s">
        <v>147</v>
      </c>
      <c r="AN91" s="94" t="s">
        <v>144</v>
      </c>
      <c r="AO91" s="94" t="s">
        <v>171</v>
      </c>
    </row>
    <row r="92" spans="15:41" x14ac:dyDescent="0.25">
      <c r="O92" s="60">
        <f t="shared" si="20"/>
        <v>46293</v>
      </c>
      <c r="P92" s="121">
        <f t="shared" si="18"/>
        <v>2</v>
      </c>
      <c r="Q92" s="189">
        <f t="shared" si="11"/>
        <v>1</v>
      </c>
      <c r="R92" s="189">
        <f t="shared" si="11"/>
        <v>1</v>
      </c>
      <c r="S92" s="189">
        <f t="shared" si="11"/>
        <v>1</v>
      </c>
      <c r="T92" s="189">
        <f t="shared" si="11"/>
        <v>1</v>
      </c>
      <c r="U92" s="189">
        <f t="shared" si="11"/>
        <v>1</v>
      </c>
      <c r="V92" s="60">
        <f t="shared" si="19"/>
        <v>46293</v>
      </c>
      <c r="W92" s="121">
        <f t="shared" si="12"/>
        <v>2</v>
      </c>
      <c r="AC92" t="s">
        <v>264</v>
      </c>
      <c r="AD92" s="60">
        <f t="shared" si="21"/>
        <v>46293</v>
      </c>
      <c r="AE92">
        <f t="shared" si="13"/>
        <v>162</v>
      </c>
      <c r="AF92">
        <f t="shared" si="14"/>
        <v>162</v>
      </c>
      <c r="AG92">
        <f t="shared" si="15"/>
        <v>152</v>
      </c>
      <c r="AH92">
        <f t="shared" si="16"/>
        <v>152</v>
      </c>
      <c r="AI92">
        <f t="shared" si="17"/>
        <v>152</v>
      </c>
      <c r="AJ92"/>
      <c r="AK92" s="94" t="s">
        <v>461</v>
      </c>
      <c r="AL92" s="94" t="s">
        <v>462</v>
      </c>
      <c r="AM92" s="94" t="s">
        <v>463</v>
      </c>
      <c r="AN92" s="94" t="s">
        <v>97</v>
      </c>
      <c r="AO92" s="94" t="s">
        <v>550</v>
      </c>
    </row>
    <row r="93" spans="15:41" x14ac:dyDescent="0.25">
      <c r="O93" s="60">
        <f t="shared" si="20"/>
        <v>46294</v>
      </c>
      <c r="P93" s="121">
        <f t="shared" si="18"/>
        <v>3</v>
      </c>
      <c r="Q93" s="189">
        <f t="shared" si="11"/>
        <v>1</v>
      </c>
      <c r="R93" s="189">
        <f t="shared" si="11"/>
        <v>1</v>
      </c>
      <c r="S93" s="189">
        <f t="shared" si="11"/>
        <v>1</v>
      </c>
      <c r="T93" s="189">
        <f t="shared" si="11"/>
        <v>1</v>
      </c>
      <c r="U93" s="189">
        <f t="shared" si="11"/>
        <v>1</v>
      </c>
      <c r="V93" s="60">
        <f t="shared" si="19"/>
        <v>46294</v>
      </c>
      <c r="W93" s="121">
        <f t="shared" si="12"/>
        <v>3</v>
      </c>
      <c r="AC93" t="s">
        <v>261</v>
      </c>
      <c r="AD93" s="60">
        <f t="shared" si="21"/>
        <v>46294</v>
      </c>
      <c r="AE93">
        <f t="shared" si="13"/>
        <v>161</v>
      </c>
      <c r="AF93">
        <f t="shared" si="14"/>
        <v>161</v>
      </c>
      <c r="AG93">
        <f t="shared" si="15"/>
        <v>151</v>
      </c>
      <c r="AH93">
        <f t="shared" si="16"/>
        <v>151</v>
      </c>
      <c r="AI93">
        <f t="shared" si="17"/>
        <v>151</v>
      </c>
      <c r="AJ93"/>
      <c r="AK93" s="94" t="s">
        <v>464</v>
      </c>
      <c r="AL93" s="94" t="s">
        <v>465</v>
      </c>
      <c r="AM93" s="94" t="s">
        <v>120</v>
      </c>
      <c r="AN93" s="94" t="s">
        <v>97</v>
      </c>
      <c r="AO93" s="94" t="s">
        <v>551</v>
      </c>
    </row>
    <row r="94" spans="15:41" x14ac:dyDescent="0.25">
      <c r="O94" s="60">
        <f t="shared" si="20"/>
        <v>46295</v>
      </c>
      <c r="P94" s="121">
        <f t="shared" si="18"/>
        <v>4</v>
      </c>
      <c r="Q94" s="189">
        <f t="shared" si="11"/>
        <v>1</v>
      </c>
      <c r="R94" s="189">
        <f t="shared" si="11"/>
        <v>1</v>
      </c>
      <c r="S94" s="189">
        <f t="shared" si="11"/>
        <v>1</v>
      </c>
      <c r="T94" s="189">
        <f t="shared" si="11"/>
        <v>1</v>
      </c>
      <c r="U94" s="189">
        <f t="shared" si="11"/>
        <v>1</v>
      </c>
      <c r="V94" s="60">
        <f t="shared" si="19"/>
        <v>46295</v>
      </c>
      <c r="W94" s="121">
        <f t="shared" si="12"/>
        <v>4</v>
      </c>
      <c r="Z94" t="s">
        <v>191</v>
      </c>
      <c r="AC94" t="s">
        <v>264</v>
      </c>
      <c r="AD94" s="60">
        <f t="shared" si="21"/>
        <v>46295</v>
      </c>
      <c r="AE94">
        <f t="shared" si="13"/>
        <v>160</v>
      </c>
      <c r="AF94">
        <f t="shared" si="14"/>
        <v>160</v>
      </c>
      <c r="AG94">
        <f t="shared" si="15"/>
        <v>150</v>
      </c>
      <c r="AH94">
        <f t="shared" si="16"/>
        <v>150</v>
      </c>
      <c r="AI94">
        <f t="shared" si="17"/>
        <v>150</v>
      </c>
      <c r="AJ94"/>
      <c r="AK94" s="94" t="s">
        <v>466</v>
      </c>
      <c r="AL94" s="94" t="s">
        <v>467</v>
      </c>
      <c r="AM94" s="94" t="s">
        <v>124</v>
      </c>
      <c r="AN94" s="94" t="s">
        <v>97</v>
      </c>
      <c r="AO94" s="94" t="s">
        <v>552</v>
      </c>
    </row>
    <row r="95" spans="15:41" x14ac:dyDescent="0.25">
      <c r="O95" s="60">
        <f t="shared" si="20"/>
        <v>46296</v>
      </c>
      <c r="P95" s="121">
        <f t="shared" si="18"/>
        <v>5</v>
      </c>
      <c r="Q95" s="189">
        <f t="shared" si="11"/>
        <v>1</v>
      </c>
      <c r="R95" s="189">
        <f t="shared" si="11"/>
        <v>1</v>
      </c>
      <c r="S95" s="189">
        <f t="shared" si="11"/>
        <v>1</v>
      </c>
      <c r="T95" s="189">
        <f t="shared" si="11"/>
        <v>1</v>
      </c>
      <c r="U95" s="189">
        <f t="shared" si="11"/>
        <v>1</v>
      </c>
      <c r="V95" s="60">
        <f t="shared" si="19"/>
        <v>46296</v>
      </c>
      <c r="W95" s="121">
        <f t="shared" si="12"/>
        <v>5</v>
      </c>
      <c r="Z95" t="s">
        <v>191</v>
      </c>
      <c r="AC95" t="s">
        <v>261</v>
      </c>
      <c r="AD95" s="60">
        <f t="shared" si="21"/>
        <v>46296</v>
      </c>
      <c r="AE95">
        <f t="shared" si="13"/>
        <v>159</v>
      </c>
      <c r="AF95">
        <f t="shared" si="14"/>
        <v>159</v>
      </c>
      <c r="AG95">
        <f t="shared" si="15"/>
        <v>149</v>
      </c>
      <c r="AH95">
        <f t="shared" si="16"/>
        <v>149</v>
      </c>
      <c r="AI95">
        <f t="shared" si="17"/>
        <v>149</v>
      </c>
      <c r="AJ95"/>
      <c r="AK95" s="94" t="s">
        <v>468</v>
      </c>
      <c r="AL95" s="94" t="s">
        <v>469</v>
      </c>
      <c r="AM95" s="94" t="s">
        <v>101</v>
      </c>
      <c r="AN95" s="94" t="s">
        <v>97</v>
      </c>
      <c r="AO95" s="94" t="s">
        <v>553</v>
      </c>
    </row>
    <row r="96" spans="15:41" x14ac:dyDescent="0.25">
      <c r="O96" s="60">
        <f t="shared" si="20"/>
        <v>46297</v>
      </c>
      <c r="P96" s="121">
        <f t="shared" si="18"/>
        <v>6</v>
      </c>
      <c r="Q96" s="189">
        <f t="shared" ref="Q96:U159" si="22">IF(OR($P96=2,$P96=3,$P96=4,$P96=5,$P96=6),1,"")</f>
        <v>1</v>
      </c>
      <c r="R96" s="189">
        <f t="shared" si="22"/>
        <v>1</v>
      </c>
      <c r="S96" s="189">
        <f t="shared" si="22"/>
        <v>1</v>
      </c>
      <c r="T96" s="189">
        <f t="shared" si="22"/>
        <v>1</v>
      </c>
      <c r="U96" s="189">
        <f t="shared" si="22"/>
        <v>1</v>
      </c>
      <c r="V96" s="60">
        <f t="shared" si="19"/>
        <v>46297</v>
      </c>
      <c r="W96" s="121">
        <f t="shared" si="12"/>
        <v>6</v>
      </c>
      <c r="X96" t="s">
        <v>574</v>
      </c>
      <c r="Y96" t="s">
        <v>574</v>
      </c>
      <c r="Z96" t="s">
        <v>574</v>
      </c>
      <c r="AA96" t="s">
        <v>576</v>
      </c>
      <c r="AB96" t="s">
        <v>574</v>
      </c>
      <c r="AD96" s="60">
        <f t="shared" si="21"/>
        <v>46297</v>
      </c>
      <c r="AE96">
        <f t="shared" si="13"/>
        <v>158</v>
      </c>
      <c r="AF96">
        <f t="shared" si="14"/>
        <v>158</v>
      </c>
      <c r="AG96">
        <f t="shared" si="15"/>
        <v>148</v>
      </c>
      <c r="AH96">
        <f t="shared" si="16"/>
        <v>148</v>
      </c>
      <c r="AI96">
        <f t="shared" si="17"/>
        <v>148</v>
      </c>
      <c r="AJ96"/>
      <c r="AK96" s="94" t="s">
        <v>470</v>
      </c>
      <c r="AL96" s="94" t="s">
        <v>471</v>
      </c>
      <c r="AM96" s="94" t="s">
        <v>121</v>
      </c>
      <c r="AN96" s="94" t="s">
        <v>97</v>
      </c>
      <c r="AO96" s="94" t="s">
        <v>280</v>
      </c>
    </row>
    <row r="97" spans="15:41" x14ac:dyDescent="0.25">
      <c r="O97" s="60">
        <f t="shared" si="20"/>
        <v>46298</v>
      </c>
      <c r="P97" s="121">
        <f t="shared" si="18"/>
        <v>7</v>
      </c>
      <c r="Q97" s="189" t="str">
        <f t="shared" si="22"/>
        <v/>
      </c>
      <c r="R97" s="189" t="str">
        <f t="shared" si="22"/>
        <v/>
      </c>
      <c r="S97" s="189" t="str">
        <f t="shared" si="22"/>
        <v/>
      </c>
      <c r="T97" s="189" t="str">
        <f t="shared" si="22"/>
        <v/>
      </c>
      <c r="U97" s="189" t="str">
        <f t="shared" si="22"/>
        <v/>
      </c>
      <c r="V97" s="60">
        <f t="shared" si="19"/>
        <v>46298</v>
      </c>
      <c r="W97" s="121">
        <f t="shared" si="12"/>
        <v>7</v>
      </c>
      <c r="AD97" s="60">
        <f t="shared" si="21"/>
        <v>46298</v>
      </c>
      <c r="AE97">
        <f t="shared" si="13"/>
        <v>158</v>
      </c>
      <c r="AF97">
        <f t="shared" si="14"/>
        <v>158</v>
      </c>
      <c r="AG97">
        <f t="shared" si="15"/>
        <v>148</v>
      </c>
      <c r="AH97">
        <f t="shared" si="16"/>
        <v>148</v>
      </c>
      <c r="AI97">
        <f t="shared" si="17"/>
        <v>148</v>
      </c>
      <c r="AJ97"/>
      <c r="AK97" s="94" t="s">
        <v>472</v>
      </c>
      <c r="AL97" s="94" t="s">
        <v>473</v>
      </c>
      <c r="AM97" s="94" t="s">
        <v>139</v>
      </c>
      <c r="AN97" s="94" t="s">
        <v>133</v>
      </c>
      <c r="AO97" s="94" t="s">
        <v>554</v>
      </c>
    </row>
    <row r="98" spans="15:41" x14ac:dyDescent="0.25">
      <c r="O98" s="60">
        <f t="shared" si="20"/>
        <v>46299</v>
      </c>
      <c r="P98" s="121">
        <f t="shared" si="18"/>
        <v>1</v>
      </c>
      <c r="Q98" s="189" t="str">
        <f t="shared" si="22"/>
        <v/>
      </c>
      <c r="R98" s="189" t="str">
        <f t="shared" si="22"/>
        <v/>
      </c>
      <c r="S98" s="189" t="str">
        <f t="shared" si="22"/>
        <v/>
      </c>
      <c r="T98" s="189" t="str">
        <f t="shared" si="22"/>
        <v/>
      </c>
      <c r="U98" s="189" t="str">
        <f t="shared" si="22"/>
        <v/>
      </c>
      <c r="V98" s="60">
        <f t="shared" si="19"/>
        <v>46299</v>
      </c>
      <c r="W98" s="121">
        <f t="shared" si="12"/>
        <v>1</v>
      </c>
      <c r="AD98" s="60">
        <f t="shared" si="21"/>
        <v>46299</v>
      </c>
      <c r="AE98">
        <f t="shared" si="13"/>
        <v>158</v>
      </c>
      <c r="AF98">
        <f t="shared" si="14"/>
        <v>158</v>
      </c>
      <c r="AG98">
        <f t="shared" si="15"/>
        <v>148</v>
      </c>
      <c r="AH98">
        <f t="shared" si="16"/>
        <v>148</v>
      </c>
      <c r="AI98">
        <f t="shared" si="17"/>
        <v>148</v>
      </c>
      <c r="AJ98"/>
      <c r="AK98" s="94" t="s">
        <v>474</v>
      </c>
      <c r="AL98" s="94" t="s">
        <v>475</v>
      </c>
      <c r="AM98" s="94" t="s">
        <v>135</v>
      </c>
      <c r="AN98" s="94" t="s">
        <v>133</v>
      </c>
      <c r="AO98" s="94" t="s">
        <v>162</v>
      </c>
    </row>
    <row r="99" spans="15:41" x14ac:dyDescent="0.25">
      <c r="O99" s="60">
        <f t="shared" si="20"/>
        <v>46300</v>
      </c>
      <c r="P99" s="121">
        <f t="shared" si="18"/>
        <v>2</v>
      </c>
      <c r="Q99" s="189">
        <f t="shared" si="22"/>
        <v>1</v>
      </c>
      <c r="R99" s="189">
        <f t="shared" si="22"/>
        <v>1</v>
      </c>
      <c r="S99" s="189">
        <f t="shared" si="22"/>
        <v>1</v>
      </c>
      <c r="T99" s="189">
        <f t="shared" si="22"/>
        <v>1</v>
      </c>
      <c r="U99" s="189">
        <f t="shared" si="22"/>
        <v>1</v>
      </c>
      <c r="V99" s="60">
        <f t="shared" si="19"/>
        <v>46300</v>
      </c>
      <c r="W99" s="121">
        <f t="shared" si="12"/>
        <v>2</v>
      </c>
      <c r="AC99" t="s">
        <v>264</v>
      </c>
      <c r="AD99" s="60">
        <f t="shared" si="21"/>
        <v>46300</v>
      </c>
      <c r="AE99">
        <f t="shared" si="13"/>
        <v>157</v>
      </c>
      <c r="AF99">
        <f t="shared" si="14"/>
        <v>157</v>
      </c>
      <c r="AG99">
        <f t="shared" si="15"/>
        <v>147</v>
      </c>
      <c r="AH99">
        <f t="shared" si="16"/>
        <v>147</v>
      </c>
      <c r="AI99">
        <f t="shared" si="17"/>
        <v>147</v>
      </c>
      <c r="AJ99"/>
      <c r="AK99" s="94" t="s">
        <v>476</v>
      </c>
      <c r="AL99" s="94" t="s">
        <v>477</v>
      </c>
      <c r="AM99" s="94" t="s">
        <v>157</v>
      </c>
      <c r="AN99" s="94" t="s">
        <v>149</v>
      </c>
      <c r="AO99" s="94" t="s">
        <v>281</v>
      </c>
    </row>
    <row r="100" spans="15:41" x14ac:dyDescent="0.25">
      <c r="O100" s="60">
        <f t="shared" si="20"/>
        <v>46301</v>
      </c>
      <c r="P100" s="121">
        <f t="shared" si="18"/>
        <v>3</v>
      </c>
      <c r="Q100" s="189">
        <f t="shared" si="22"/>
        <v>1</v>
      </c>
      <c r="R100" s="189">
        <f t="shared" si="22"/>
        <v>1</v>
      </c>
      <c r="S100" s="189">
        <f t="shared" si="22"/>
        <v>1</v>
      </c>
      <c r="T100" s="189">
        <f t="shared" si="22"/>
        <v>1</v>
      </c>
      <c r="U100" s="189">
        <f t="shared" si="22"/>
        <v>1</v>
      </c>
      <c r="V100" s="60">
        <f t="shared" si="19"/>
        <v>46301</v>
      </c>
      <c r="W100" s="121">
        <f t="shared" si="12"/>
        <v>3</v>
      </c>
      <c r="AC100" t="s">
        <v>261</v>
      </c>
      <c r="AD100" s="60">
        <f t="shared" si="21"/>
        <v>46301</v>
      </c>
      <c r="AE100">
        <f t="shared" si="13"/>
        <v>156</v>
      </c>
      <c r="AF100">
        <f t="shared" si="14"/>
        <v>156</v>
      </c>
      <c r="AG100">
        <f t="shared" si="15"/>
        <v>146</v>
      </c>
      <c r="AH100">
        <f t="shared" si="16"/>
        <v>146</v>
      </c>
      <c r="AI100">
        <f t="shared" si="17"/>
        <v>146</v>
      </c>
      <c r="AJ100"/>
      <c r="AK100" s="94" t="s">
        <v>478</v>
      </c>
      <c r="AL100" s="94" t="s">
        <v>154</v>
      </c>
      <c r="AM100" s="94" t="s">
        <v>154</v>
      </c>
      <c r="AN100" s="94" t="s">
        <v>269</v>
      </c>
      <c r="AO100" s="94" t="s">
        <v>555</v>
      </c>
    </row>
    <row r="101" spans="15:41" x14ac:dyDescent="0.25">
      <c r="O101" s="60">
        <f t="shared" si="20"/>
        <v>46302</v>
      </c>
      <c r="P101" s="121">
        <f t="shared" si="18"/>
        <v>4</v>
      </c>
      <c r="Q101" s="189">
        <f t="shared" si="22"/>
        <v>1</v>
      </c>
      <c r="R101" s="189">
        <f t="shared" si="22"/>
        <v>1</v>
      </c>
      <c r="S101" s="189">
        <f t="shared" si="22"/>
        <v>1</v>
      </c>
      <c r="T101" s="189">
        <f t="shared" si="22"/>
        <v>1</v>
      </c>
      <c r="U101" s="189">
        <f t="shared" si="22"/>
        <v>1</v>
      </c>
      <c r="V101" s="60">
        <f t="shared" si="19"/>
        <v>46302</v>
      </c>
      <c r="W101" s="121">
        <f t="shared" si="12"/>
        <v>4</v>
      </c>
      <c r="AC101" t="s">
        <v>264</v>
      </c>
      <c r="AD101" s="60">
        <f t="shared" si="21"/>
        <v>46302</v>
      </c>
      <c r="AE101">
        <f t="shared" si="13"/>
        <v>155</v>
      </c>
      <c r="AF101">
        <f t="shared" si="14"/>
        <v>155</v>
      </c>
      <c r="AG101">
        <f t="shared" si="15"/>
        <v>145</v>
      </c>
      <c r="AH101">
        <f t="shared" si="16"/>
        <v>145</v>
      </c>
      <c r="AI101">
        <f t="shared" si="17"/>
        <v>145</v>
      </c>
      <c r="AJ101"/>
      <c r="AK101" s="94" t="s">
        <v>479</v>
      </c>
      <c r="AL101" s="94" t="s">
        <v>480</v>
      </c>
      <c r="AM101" s="94" t="s">
        <v>122</v>
      </c>
      <c r="AN101" s="94" t="s">
        <v>97</v>
      </c>
      <c r="AO101" s="94" t="s">
        <v>556</v>
      </c>
    </row>
    <row r="102" spans="15:41" x14ac:dyDescent="0.25">
      <c r="O102" s="60">
        <f t="shared" si="20"/>
        <v>46303</v>
      </c>
      <c r="P102" s="121">
        <f t="shared" si="18"/>
        <v>5</v>
      </c>
      <c r="Q102" s="189">
        <f t="shared" si="22"/>
        <v>1</v>
      </c>
      <c r="R102" s="189">
        <f t="shared" si="22"/>
        <v>1</v>
      </c>
      <c r="S102" s="189">
        <f t="shared" si="22"/>
        <v>1</v>
      </c>
      <c r="T102" s="189">
        <f t="shared" si="22"/>
        <v>1</v>
      </c>
      <c r="U102" s="189">
        <f t="shared" si="22"/>
        <v>1</v>
      </c>
      <c r="V102" s="60">
        <f t="shared" si="19"/>
        <v>46303</v>
      </c>
      <c r="W102" s="121">
        <f t="shared" si="12"/>
        <v>5</v>
      </c>
      <c r="AC102" t="s">
        <v>261</v>
      </c>
      <c r="AD102" s="60">
        <f t="shared" si="21"/>
        <v>46303</v>
      </c>
      <c r="AE102">
        <f t="shared" si="13"/>
        <v>154</v>
      </c>
      <c r="AF102">
        <f t="shared" si="14"/>
        <v>154</v>
      </c>
      <c r="AG102">
        <f t="shared" si="15"/>
        <v>144</v>
      </c>
      <c r="AH102">
        <f t="shared" si="16"/>
        <v>144</v>
      </c>
      <c r="AI102">
        <f t="shared" si="17"/>
        <v>144</v>
      </c>
      <c r="AJ102"/>
      <c r="AK102" s="94" t="s">
        <v>481</v>
      </c>
      <c r="AL102" s="94" t="s">
        <v>482</v>
      </c>
      <c r="AM102" s="94" t="s">
        <v>89</v>
      </c>
      <c r="AN102" s="94" t="s">
        <v>88</v>
      </c>
      <c r="AO102" s="94" t="s">
        <v>282</v>
      </c>
    </row>
    <row r="103" spans="15:41" x14ac:dyDescent="0.25">
      <c r="O103" s="60">
        <f t="shared" si="20"/>
        <v>46304</v>
      </c>
      <c r="P103" s="121">
        <f t="shared" si="18"/>
        <v>6</v>
      </c>
      <c r="Q103" s="189">
        <f t="shared" si="22"/>
        <v>1</v>
      </c>
      <c r="R103" s="189">
        <f t="shared" si="22"/>
        <v>1</v>
      </c>
      <c r="S103" s="189">
        <f t="shared" si="22"/>
        <v>1</v>
      </c>
      <c r="T103" s="189">
        <f t="shared" si="22"/>
        <v>1</v>
      </c>
      <c r="U103" s="189">
        <f t="shared" si="22"/>
        <v>1</v>
      </c>
      <c r="V103" s="60">
        <f t="shared" si="19"/>
        <v>46304</v>
      </c>
      <c r="W103" s="121">
        <f t="shared" si="12"/>
        <v>6</v>
      </c>
      <c r="AC103" t="s">
        <v>264</v>
      </c>
      <c r="AD103" s="60">
        <f t="shared" si="21"/>
        <v>46304</v>
      </c>
      <c r="AE103">
        <f t="shared" si="13"/>
        <v>153</v>
      </c>
      <c r="AF103">
        <f t="shared" si="14"/>
        <v>153</v>
      </c>
      <c r="AG103">
        <f t="shared" si="15"/>
        <v>143</v>
      </c>
      <c r="AH103">
        <f t="shared" si="16"/>
        <v>143</v>
      </c>
      <c r="AI103">
        <f t="shared" si="17"/>
        <v>143</v>
      </c>
      <c r="AJ103"/>
      <c r="AK103" s="94" t="s">
        <v>483</v>
      </c>
      <c r="AL103" s="94" t="s">
        <v>484</v>
      </c>
      <c r="AM103" s="94" t="s">
        <v>140</v>
      </c>
      <c r="AN103" s="94" t="s">
        <v>133</v>
      </c>
      <c r="AO103" s="94" t="s">
        <v>165</v>
      </c>
    </row>
    <row r="104" spans="15:41" x14ac:dyDescent="0.25">
      <c r="O104" s="60">
        <f t="shared" si="20"/>
        <v>46305</v>
      </c>
      <c r="P104" s="121">
        <f t="shared" si="18"/>
        <v>7</v>
      </c>
      <c r="Q104" s="189" t="str">
        <f t="shared" si="22"/>
        <v/>
      </c>
      <c r="R104" s="189" t="str">
        <f t="shared" si="22"/>
        <v/>
      </c>
      <c r="S104" s="189" t="str">
        <f t="shared" si="22"/>
        <v/>
      </c>
      <c r="T104" s="189" t="str">
        <f t="shared" si="22"/>
        <v/>
      </c>
      <c r="U104" s="189" t="str">
        <f t="shared" si="22"/>
        <v/>
      </c>
      <c r="V104" s="60">
        <f t="shared" si="19"/>
        <v>46305</v>
      </c>
      <c r="W104" s="121">
        <f t="shared" si="12"/>
        <v>7</v>
      </c>
      <c r="AD104" s="60">
        <f t="shared" si="21"/>
        <v>46305</v>
      </c>
      <c r="AE104">
        <f t="shared" si="13"/>
        <v>153</v>
      </c>
      <c r="AF104">
        <f t="shared" si="14"/>
        <v>153</v>
      </c>
      <c r="AG104">
        <f t="shared" si="15"/>
        <v>143</v>
      </c>
      <c r="AH104">
        <f t="shared" si="16"/>
        <v>143</v>
      </c>
      <c r="AI104">
        <f t="shared" si="17"/>
        <v>143</v>
      </c>
      <c r="AJ104"/>
      <c r="AK104" s="94" t="s">
        <v>485</v>
      </c>
      <c r="AL104" s="94" t="s">
        <v>486</v>
      </c>
      <c r="AM104" s="94" t="s">
        <v>487</v>
      </c>
      <c r="AN104" s="94" t="s">
        <v>88</v>
      </c>
      <c r="AO104" s="94" t="s">
        <v>557</v>
      </c>
    </row>
    <row r="105" spans="15:41" x14ac:dyDescent="0.25">
      <c r="O105" s="60">
        <f t="shared" si="20"/>
        <v>46306</v>
      </c>
      <c r="P105" s="121">
        <f t="shared" si="18"/>
        <v>1</v>
      </c>
      <c r="Q105" s="189" t="str">
        <f t="shared" si="22"/>
        <v/>
      </c>
      <c r="R105" s="189" t="str">
        <f t="shared" si="22"/>
        <v/>
      </c>
      <c r="S105" s="189" t="str">
        <f t="shared" si="22"/>
        <v/>
      </c>
      <c r="T105" s="189" t="str">
        <f t="shared" si="22"/>
        <v/>
      </c>
      <c r="U105" s="189" t="str">
        <f t="shared" si="22"/>
        <v/>
      </c>
      <c r="V105" s="60">
        <f t="shared" si="19"/>
        <v>46306</v>
      </c>
      <c r="W105" s="121">
        <f t="shared" si="12"/>
        <v>1</v>
      </c>
      <c r="AD105" s="60">
        <f t="shared" si="21"/>
        <v>46306</v>
      </c>
      <c r="AE105">
        <f t="shared" si="13"/>
        <v>153</v>
      </c>
      <c r="AF105">
        <f t="shared" si="14"/>
        <v>153</v>
      </c>
      <c r="AG105">
        <f t="shared" si="15"/>
        <v>143</v>
      </c>
      <c r="AH105">
        <f t="shared" si="16"/>
        <v>143</v>
      </c>
      <c r="AI105">
        <f t="shared" si="17"/>
        <v>143</v>
      </c>
      <c r="AJ105"/>
      <c r="AK105" s="94" t="s">
        <v>488</v>
      </c>
      <c r="AL105" s="94" t="s">
        <v>489</v>
      </c>
      <c r="AM105" s="94" t="s">
        <v>283</v>
      </c>
      <c r="AN105" s="94" t="s">
        <v>88</v>
      </c>
      <c r="AO105" s="94" t="s">
        <v>158</v>
      </c>
    </row>
    <row r="106" spans="15:41" x14ac:dyDescent="0.25">
      <c r="O106" s="60">
        <f t="shared" si="20"/>
        <v>46307</v>
      </c>
      <c r="P106" s="121">
        <f t="shared" si="18"/>
        <v>2</v>
      </c>
      <c r="Q106" s="189">
        <f t="shared" si="22"/>
        <v>1</v>
      </c>
      <c r="R106" s="189">
        <f t="shared" si="22"/>
        <v>1</v>
      </c>
      <c r="S106" s="189">
        <f t="shared" si="22"/>
        <v>1</v>
      </c>
      <c r="T106" s="189">
        <f t="shared" si="22"/>
        <v>1</v>
      </c>
      <c r="U106" s="189">
        <f t="shared" si="22"/>
        <v>1</v>
      </c>
      <c r="V106" s="60">
        <f t="shared" si="19"/>
        <v>46307</v>
      </c>
      <c r="W106" s="121">
        <f t="shared" si="12"/>
        <v>2</v>
      </c>
      <c r="AC106" t="s">
        <v>261</v>
      </c>
      <c r="AD106" s="60">
        <f t="shared" si="21"/>
        <v>46307</v>
      </c>
      <c r="AE106">
        <f t="shared" si="13"/>
        <v>152</v>
      </c>
      <c r="AF106">
        <f t="shared" si="14"/>
        <v>152</v>
      </c>
      <c r="AG106">
        <f t="shared" si="15"/>
        <v>142</v>
      </c>
      <c r="AH106">
        <f t="shared" si="16"/>
        <v>142</v>
      </c>
      <c r="AI106">
        <f t="shared" si="17"/>
        <v>142</v>
      </c>
      <c r="AJ106"/>
      <c r="AK106" s="94" t="s">
        <v>490</v>
      </c>
      <c r="AL106" s="94" t="s">
        <v>491</v>
      </c>
      <c r="AM106" s="94" t="s">
        <v>123</v>
      </c>
      <c r="AN106" s="94" t="s">
        <v>97</v>
      </c>
      <c r="AO106" s="94" t="s">
        <v>558</v>
      </c>
    </row>
    <row r="107" spans="15:41" x14ac:dyDescent="0.25">
      <c r="O107" s="60">
        <f t="shared" si="20"/>
        <v>46308</v>
      </c>
      <c r="P107" s="121">
        <f t="shared" si="18"/>
        <v>3</v>
      </c>
      <c r="Q107" s="189">
        <f t="shared" si="22"/>
        <v>1</v>
      </c>
      <c r="R107" s="189">
        <f t="shared" si="22"/>
        <v>1</v>
      </c>
      <c r="S107" s="189">
        <f t="shared" si="22"/>
        <v>1</v>
      </c>
      <c r="T107" s="189">
        <f t="shared" si="22"/>
        <v>1</v>
      </c>
      <c r="U107" s="189">
        <f t="shared" si="22"/>
        <v>1</v>
      </c>
      <c r="V107" s="60">
        <f t="shared" si="19"/>
        <v>46308</v>
      </c>
      <c r="W107" s="121">
        <f t="shared" si="12"/>
        <v>3</v>
      </c>
      <c r="AC107" t="s">
        <v>264</v>
      </c>
      <c r="AD107" s="60">
        <f t="shared" si="21"/>
        <v>46308</v>
      </c>
      <c r="AE107">
        <f t="shared" si="13"/>
        <v>151</v>
      </c>
      <c r="AF107">
        <f t="shared" si="14"/>
        <v>151</v>
      </c>
      <c r="AG107">
        <f t="shared" si="15"/>
        <v>141</v>
      </c>
      <c r="AH107">
        <f t="shared" si="16"/>
        <v>141</v>
      </c>
      <c r="AI107">
        <f t="shared" si="17"/>
        <v>141</v>
      </c>
      <c r="AJ107"/>
      <c r="AK107" s="94" t="s">
        <v>492</v>
      </c>
      <c r="AL107" s="94" t="s">
        <v>493</v>
      </c>
      <c r="AM107" s="94" t="s">
        <v>284</v>
      </c>
      <c r="AN107" s="94" t="s">
        <v>88</v>
      </c>
      <c r="AO107" s="94" t="s">
        <v>559</v>
      </c>
    </row>
    <row r="108" spans="15:41" x14ac:dyDescent="0.25">
      <c r="O108" s="60">
        <f t="shared" si="20"/>
        <v>46309</v>
      </c>
      <c r="P108" s="121">
        <f t="shared" si="18"/>
        <v>4</v>
      </c>
      <c r="Q108" s="189">
        <f t="shared" si="22"/>
        <v>1</v>
      </c>
      <c r="R108" s="189">
        <f t="shared" si="22"/>
        <v>1</v>
      </c>
      <c r="S108" s="189">
        <f t="shared" si="22"/>
        <v>1</v>
      </c>
      <c r="T108" s="189">
        <f t="shared" si="22"/>
        <v>1</v>
      </c>
      <c r="U108" s="189">
        <f t="shared" si="22"/>
        <v>1</v>
      </c>
      <c r="V108" s="60">
        <f t="shared" si="19"/>
        <v>46309</v>
      </c>
      <c r="W108" s="121">
        <f t="shared" si="12"/>
        <v>4</v>
      </c>
      <c r="AC108" t="s">
        <v>261</v>
      </c>
      <c r="AD108" s="60">
        <f t="shared" si="21"/>
        <v>46309</v>
      </c>
      <c r="AE108">
        <f t="shared" si="13"/>
        <v>150</v>
      </c>
      <c r="AF108">
        <f t="shared" si="14"/>
        <v>150</v>
      </c>
      <c r="AG108">
        <f t="shared" si="15"/>
        <v>140</v>
      </c>
      <c r="AH108">
        <f t="shared" si="16"/>
        <v>140</v>
      </c>
      <c r="AI108">
        <f t="shared" si="17"/>
        <v>140</v>
      </c>
      <c r="AJ108"/>
      <c r="AK108" s="94" t="s">
        <v>494</v>
      </c>
      <c r="AL108" s="94" t="s">
        <v>148</v>
      </c>
      <c r="AM108" s="94" t="s">
        <v>148</v>
      </c>
      <c r="AN108" s="94" t="s">
        <v>144</v>
      </c>
      <c r="AO108" s="94" t="s">
        <v>285</v>
      </c>
    </row>
    <row r="109" spans="15:41" x14ac:dyDescent="0.25">
      <c r="O109" s="60">
        <f t="shared" si="20"/>
        <v>46310</v>
      </c>
      <c r="P109" s="121">
        <f t="shared" si="18"/>
        <v>5</v>
      </c>
      <c r="Q109" s="189">
        <f t="shared" si="22"/>
        <v>1</v>
      </c>
      <c r="R109" s="189">
        <f t="shared" si="22"/>
        <v>1</v>
      </c>
      <c r="S109" s="189">
        <f t="shared" si="22"/>
        <v>1</v>
      </c>
      <c r="T109" s="189">
        <f t="shared" si="22"/>
        <v>1</v>
      </c>
      <c r="U109" s="189">
        <f t="shared" si="22"/>
        <v>1</v>
      </c>
      <c r="V109" s="60">
        <f t="shared" si="19"/>
        <v>46310</v>
      </c>
      <c r="W109" s="121">
        <f t="shared" si="12"/>
        <v>5</v>
      </c>
      <c r="AC109" t="s">
        <v>264</v>
      </c>
      <c r="AD109" s="60">
        <f t="shared" si="21"/>
        <v>46310</v>
      </c>
      <c r="AE109">
        <f t="shared" si="13"/>
        <v>149</v>
      </c>
      <c r="AF109">
        <f t="shared" si="14"/>
        <v>149</v>
      </c>
      <c r="AG109">
        <f t="shared" si="15"/>
        <v>139</v>
      </c>
      <c r="AH109">
        <f t="shared" si="16"/>
        <v>139</v>
      </c>
      <c r="AI109">
        <f t="shared" si="17"/>
        <v>139</v>
      </c>
      <c r="AJ109"/>
      <c r="AK109" s="94" t="s">
        <v>495</v>
      </c>
      <c r="AL109" s="94" t="s">
        <v>496</v>
      </c>
      <c r="AM109" s="94" t="s">
        <v>125</v>
      </c>
      <c r="AN109" s="94" t="s">
        <v>97</v>
      </c>
      <c r="AO109" s="94" t="s">
        <v>286</v>
      </c>
    </row>
    <row r="110" spans="15:41" x14ac:dyDescent="0.25">
      <c r="O110" s="60">
        <f t="shared" si="20"/>
        <v>46311</v>
      </c>
      <c r="P110" s="121">
        <f t="shared" si="18"/>
        <v>6</v>
      </c>
      <c r="Q110" s="189">
        <f t="shared" si="22"/>
        <v>1</v>
      </c>
      <c r="R110" s="189">
        <f t="shared" si="22"/>
        <v>1</v>
      </c>
      <c r="S110" s="189">
        <f t="shared" si="22"/>
        <v>1</v>
      </c>
      <c r="T110" s="189">
        <f t="shared" si="22"/>
        <v>1</v>
      </c>
      <c r="U110" s="189">
        <f t="shared" si="22"/>
        <v>1</v>
      </c>
      <c r="V110" s="60">
        <f t="shared" si="19"/>
        <v>46311</v>
      </c>
      <c r="W110" s="121">
        <f t="shared" si="12"/>
        <v>6</v>
      </c>
      <c r="AC110" t="s">
        <v>261</v>
      </c>
      <c r="AD110" s="60">
        <f t="shared" si="21"/>
        <v>46311</v>
      </c>
      <c r="AE110">
        <f t="shared" si="13"/>
        <v>148</v>
      </c>
      <c r="AF110">
        <f t="shared" si="14"/>
        <v>148</v>
      </c>
      <c r="AG110">
        <f t="shared" si="15"/>
        <v>138</v>
      </c>
      <c r="AH110">
        <f t="shared" si="16"/>
        <v>138</v>
      </c>
      <c r="AI110">
        <f t="shared" si="17"/>
        <v>138</v>
      </c>
      <c r="AJ110"/>
      <c r="AK110" s="94" t="s">
        <v>497</v>
      </c>
      <c r="AL110" s="94" t="s">
        <v>498</v>
      </c>
      <c r="AM110" s="94" t="s">
        <v>138</v>
      </c>
      <c r="AN110" s="94" t="s">
        <v>133</v>
      </c>
      <c r="AO110" s="94" t="s">
        <v>560</v>
      </c>
    </row>
    <row r="111" spans="15:41" x14ac:dyDescent="0.25">
      <c r="O111" s="60">
        <f t="shared" si="20"/>
        <v>46312</v>
      </c>
      <c r="P111" s="121">
        <f t="shared" si="18"/>
        <v>7</v>
      </c>
      <c r="Q111" s="189" t="str">
        <f t="shared" si="22"/>
        <v/>
      </c>
      <c r="R111" s="189" t="str">
        <f t="shared" si="22"/>
        <v/>
      </c>
      <c r="S111" s="189" t="str">
        <f t="shared" si="22"/>
        <v/>
      </c>
      <c r="T111" s="189" t="str">
        <f t="shared" si="22"/>
        <v/>
      </c>
      <c r="U111" s="189" t="str">
        <f t="shared" si="22"/>
        <v/>
      </c>
      <c r="V111" s="60">
        <f t="shared" si="19"/>
        <v>46312</v>
      </c>
      <c r="W111" s="121">
        <f t="shared" si="12"/>
        <v>7</v>
      </c>
      <c r="AD111" s="60">
        <f t="shared" si="21"/>
        <v>46312</v>
      </c>
      <c r="AE111">
        <f t="shared" si="13"/>
        <v>148</v>
      </c>
      <c r="AF111">
        <f t="shared" si="14"/>
        <v>148</v>
      </c>
      <c r="AG111">
        <f t="shared" si="15"/>
        <v>138</v>
      </c>
      <c r="AH111">
        <f t="shared" si="16"/>
        <v>138</v>
      </c>
      <c r="AI111">
        <f t="shared" si="17"/>
        <v>138</v>
      </c>
      <c r="AJ111"/>
      <c r="AK111" s="94" t="s">
        <v>499</v>
      </c>
      <c r="AL111" s="94" t="s">
        <v>500</v>
      </c>
      <c r="AM111" s="94" t="s">
        <v>150</v>
      </c>
      <c r="AN111" s="94" t="s">
        <v>144</v>
      </c>
      <c r="AO111" s="94" t="s">
        <v>174</v>
      </c>
    </row>
    <row r="112" spans="15:41" x14ac:dyDescent="0.25">
      <c r="O112" s="60">
        <f t="shared" si="20"/>
        <v>46313</v>
      </c>
      <c r="P112" s="121">
        <f t="shared" si="18"/>
        <v>1</v>
      </c>
      <c r="Q112" s="189" t="str">
        <f t="shared" si="22"/>
        <v/>
      </c>
      <c r="R112" s="189" t="str">
        <f t="shared" si="22"/>
        <v/>
      </c>
      <c r="S112" s="189" t="str">
        <f t="shared" si="22"/>
        <v/>
      </c>
      <c r="T112" s="189" t="str">
        <f t="shared" si="22"/>
        <v/>
      </c>
      <c r="U112" s="189" t="str">
        <f t="shared" si="22"/>
        <v/>
      </c>
      <c r="V112" s="60">
        <f t="shared" si="19"/>
        <v>46313</v>
      </c>
      <c r="W112" s="121">
        <f t="shared" si="12"/>
        <v>1</v>
      </c>
      <c r="AD112" s="60">
        <f t="shared" si="21"/>
        <v>46313</v>
      </c>
      <c r="AE112">
        <f t="shared" si="13"/>
        <v>148</v>
      </c>
      <c r="AF112">
        <f t="shared" si="14"/>
        <v>148</v>
      </c>
      <c r="AG112">
        <f t="shared" si="15"/>
        <v>138</v>
      </c>
      <c r="AH112">
        <f t="shared" si="16"/>
        <v>138</v>
      </c>
      <c r="AI112">
        <f t="shared" si="17"/>
        <v>138</v>
      </c>
      <c r="AJ112"/>
      <c r="AK112" s="94" t="s">
        <v>501</v>
      </c>
      <c r="AL112" s="94" t="s">
        <v>502</v>
      </c>
      <c r="AM112" s="94" t="s">
        <v>136</v>
      </c>
      <c r="AN112" s="94" t="s">
        <v>133</v>
      </c>
      <c r="AO112" s="94" t="s">
        <v>163</v>
      </c>
    </row>
    <row r="113" spans="15:41" x14ac:dyDescent="0.25">
      <c r="O113" s="60">
        <f t="shared" si="20"/>
        <v>46314</v>
      </c>
      <c r="P113" s="121">
        <f t="shared" si="18"/>
        <v>2</v>
      </c>
      <c r="Q113" s="189" t="s">
        <v>190</v>
      </c>
      <c r="R113" s="189" t="s">
        <v>190</v>
      </c>
      <c r="S113" s="189" t="s">
        <v>190</v>
      </c>
      <c r="T113" s="189" t="s">
        <v>190</v>
      </c>
      <c r="U113" s="189" t="s">
        <v>190</v>
      </c>
      <c r="V113" s="60">
        <f t="shared" si="19"/>
        <v>46314</v>
      </c>
      <c r="W113" s="121">
        <f t="shared" si="12"/>
        <v>2</v>
      </c>
      <c r="X113" t="s">
        <v>575</v>
      </c>
      <c r="Y113" t="s">
        <v>575</v>
      </c>
      <c r="Z113" t="s">
        <v>575</v>
      </c>
      <c r="AA113" t="s">
        <v>575</v>
      </c>
      <c r="AB113" t="s">
        <v>575</v>
      </c>
      <c r="AD113" s="60">
        <f t="shared" si="21"/>
        <v>46314</v>
      </c>
      <c r="AE113">
        <f t="shared" si="13"/>
        <v>148</v>
      </c>
      <c r="AF113">
        <f t="shared" si="14"/>
        <v>148</v>
      </c>
      <c r="AG113">
        <f t="shared" si="15"/>
        <v>138</v>
      </c>
      <c r="AH113">
        <f t="shared" si="16"/>
        <v>138</v>
      </c>
      <c r="AI113">
        <f t="shared" si="17"/>
        <v>138</v>
      </c>
      <c r="AJ113"/>
      <c r="AK113" s="94" t="s">
        <v>503</v>
      </c>
      <c r="AL113" s="94" t="s">
        <v>504</v>
      </c>
      <c r="AM113" s="94" t="s">
        <v>127</v>
      </c>
      <c r="AN113" s="94" t="s">
        <v>97</v>
      </c>
      <c r="AO113" s="94" t="s">
        <v>287</v>
      </c>
    </row>
    <row r="114" spans="15:41" x14ac:dyDescent="0.25">
      <c r="O114" s="60">
        <f t="shared" si="20"/>
        <v>46315</v>
      </c>
      <c r="P114" s="121">
        <f t="shared" si="18"/>
        <v>3</v>
      </c>
      <c r="Q114" s="189" t="s">
        <v>190</v>
      </c>
      <c r="R114" s="189" t="s">
        <v>190</v>
      </c>
      <c r="S114" s="189" t="s">
        <v>190</v>
      </c>
      <c r="T114" s="189" t="s">
        <v>190</v>
      </c>
      <c r="U114" s="189" t="s">
        <v>190</v>
      </c>
      <c r="V114" s="60">
        <f t="shared" si="19"/>
        <v>46315</v>
      </c>
      <c r="W114" s="121">
        <f t="shared" si="12"/>
        <v>3</v>
      </c>
      <c r="AD114" s="60">
        <f t="shared" si="21"/>
        <v>46315</v>
      </c>
      <c r="AE114">
        <f t="shared" si="13"/>
        <v>148</v>
      </c>
      <c r="AF114">
        <f t="shared" si="14"/>
        <v>148</v>
      </c>
      <c r="AG114">
        <f t="shared" si="15"/>
        <v>138</v>
      </c>
      <c r="AH114">
        <f t="shared" si="16"/>
        <v>138</v>
      </c>
      <c r="AI114">
        <f t="shared" si="17"/>
        <v>138</v>
      </c>
      <c r="AJ114"/>
      <c r="AK114" s="94" t="s">
        <v>505</v>
      </c>
      <c r="AL114" s="94" t="s">
        <v>506</v>
      </c>
      <c r="AM114" s="94" t="s">
        <v>126</v>
      </c>
      <c r="AN114" s="94" t="s">
        <v>97</v>
      </c>
      <c r="AO114" s="94" t="s">
        <v>561</v>
      </c>
    </row>
    <row r="115" spans="15:41" x14ac:dyDescent="0.25">
      <c r="O115" s="60">
        <f t="shared" si="20"/>
        <v>46316</v>
      </c>
      <c r="P115" s="121">
        <f t="shared" si="18"/>
        <v>4</v>
      </c>
      <c r="Q115" s="189" t="s">
        <v>190</v>
      </c>
      <c r="R115" s="189" t="s">
        <v>190</v>
      </c>
      <c r="S115" s="189" t="s">
        <v>190</v>
      </c>
      <c r="T115" s="189" t="s">
        <v>190</v>
      </c>
      <c r="U115" s="189" t="s">
        <v>190</v>
      </c>
      <c r="V115" s="60">
        <f t="shared" si="19"/>
        <v>46316</v>
      </c>
      <c r="W115" s="121">
        <f t="shared" si="12"/>
        <v>4</v>
      </c>
      <c r="AD115" s="60">
        <f t="shared" si="21"/>
        <v>46316</v>
      </c>
      <c r="AE115">
        <f t="shared" si="13"/>
        <v>148</v>
      </c>
      <c r="AF115">
        <f t="shared" si="14"/>
        <v>148</v>
      </c>
      <c r="AG115">
        <f t="shared" si="15"/>
        <v>138</v>
      </c>
      <c r="AH115">
        <f t="shared" si="16"/>
        <v>138</v>
      </c>
      <c r="AI115">
        <f t="shared" si="17"/>
        <v>138</v>
      </c>
      <c r="AJ115"/>
    </row>
    <row r="116" spans="15:41" x14ac:dyDescent="0.25">
      <c r="O116" s="60">
        <f t="shared" si="20"/>
        <v>46317</v>
      </c>
      <c r="P116" s="121">
        <f t="shared" si="18"/>
        <v>5</v>
      </c>
      <c r="Q116" s="189" t="s">
        <v>190</v>
      </c>
      <c r="R116" s="189" t="s">
        <v>190</v>
      </c>
      <c r="S116" s="189" t="s">
        <v>190</v>
      </c>
      <c r="T116" s="189" t="s">
        <v>190</v>
      </c>
      <c r="U116" s="189" t="s">
        <v>190</v>
      </c>
      <c r="V116" s="60">
        <f t="shared" si="19"/>
        <v>46317</v>
      </c>
      <c r="W116" s="121">
        <f t="shared" si="12"/>
        <v>5</v>
      </c>
      <c r="AD116" s="60">
        <f t="shared" si="21"/>
        <v>46317</v>
      </c>
      <c r="AE116">
        <f t="shared" si="13"/>
        <v>148</v>
      </c>
      <c r="AF116">
        <f t="shared" si="14"/>
        <v>148</v>
      </c>
      <c r="AG116">
        <f t="shared" si="15"/>
        <v>138</v>
      </c>
      <c r="AH116">
        <f t="shared" si="16"/>
        <v>138</v>
      </c>
      <c r="AI116">
        <f t="shared" si="17"/>
        <v>138</v>
      </c>
      <c r="AJ116"/>
    </row>
    <row r="117" spans="15:41" x14ac:dyDescent="0.25">
      <c r="O117" s="60">
        <f t="shared" si="20"/>
        <v>46318</v>
      </c>
      <c r="P117" s="121">
        <f t="shared" si="18"/>
        <v>6</v>
      </c>
      <c r="Q117" s="189" t="s">
        <v>190</v>
      </c>
      <c r="R117" s="189" t="s">
        <v>190</v>
      </c>
      <c r="S117" s="189" t="s">
        <v>190</v>
      </c>
      <c r="T117" s="189" t="s">
        <v>190</v>
      </c>
      <c r="U117" s="189" t="s">
        <v>190</v>
      </c>
      <c r="V117" s="60">
        <f t="shared" si="19"/>
        <v>46318</v>
      </c>
      <c r="W117" s="121">
        <f t="shared" si="12"/>
        <v>6</v>
      </c>
      <c r="AD117" s="60">
        <f t="shared" si="21"/>
        <v>46318</v>
      </c>
      <c r="AE117">
        <f t="shared" si="13"/>
        <v>148</v>
      </c>
      <c r="AF117">
        <f t="shared" si="14"/>
        <v>148</v>
      </c>
      <c r="AG117">
        <f t="shared" si="15"/>
        <v>138</v>
      </c>
      <c r="AH117">
        <f t="shared" si="16"/>
        <v>138</v>
      </c>
      <c r="AI117">
        <f t="shared" si="17"/>
        <v>138</v>
      </c>
      <c r="AJ117"/>
    </row>
    <row r="118" spans="15:41" x14ac:dyDescent="0.25">
      <c r="O118" s="60">
        <f t="shared" si="20"/>
        <v>46319</v>
      </c>
      <c r="P118" s="121">
        <f t="shared" si="18"/>
        <v>7</v>
      </c>
      <c r="Q118" s="189" t="str">
        <f t="shared" ref="Q118:U123" si="23">IF(OR($P118=2,$P118=3,$P118=4,$P118=5,$P118=6),1,"")</f>
        <v/>
      </c>
      <c r="R118" s="189" t="str">
        <f t="shared" si="23"/>
        <v/>
      </c>
      <c r="S118" s="189" t="str">
        <f t="shared" si="23"/>
        <v/>
      </c>
      <c r="T118" s="189" t="str">
        <f t="shared" si="23"/>
        <v/>
      </c>
      <c r="U118" s="189" t="str">
        <f t="shared" si="23"/>
        <v/>
      </c>
      <c r="V118" s="60">
        <f t="shared" si="19"/>
        <v>46319</v>
      </c>
      <c r="W118" s="121">
        <f t="shared" si="12"/>
        <v>7</v>
      </c>
      <c r="AD118" s="60">
        <f t="shared" si="21"/>
        <v>46319</v>
      </c>
      <c r="AE118">
        <f t="shared" si="13"/>
        <v>148</v>
      </c>
      <c r="AF118">
        <f t="shared" si="14"/>
        <v>148</v>
      </c>
      <c r="AG118">
        <f t="shared" si="15"/>
        <v>138</v>
      </c>
      <c r="AH118">
        <f t="shared" si="16"/>
        <v>138</v>
      </c>
      <c r="AI118">
        <f t="shared" si="17"/>
        <v>138</v>
      </c>
      <c r="AJ118"/>
    </row>
    <row r="119" spans="15:41" x14ac:dyDescent="0.25">
      <c r="O119" s="60">
        <f t="shared" si="20"/>
        <v>46320</v>
      </c>
      <c r="P119" s="121">
        <f t="shared" si="18"/>
        <v>1</v>
      </c>
      <c r="Q119" s="189" t="str">
        <f t="shared" si="23"/>
        <v/>
      </c>
      <c r="R119" s="189" t="str">
        <f t="shared" si="23"/>
        <v/>
      </c>
      <c r="S119" s="189" t="str">
        <f t="shared" si="23"/>
        <v/>
      </c>
      <c r="T119" s="189" t="str">
        <f t="shared" si="23"/>
        <v/>
      </c>
      <c r="U119" s="189" t="str">
        <f t="shared" si="23"/>
        <v/>
      </c>
      <c r="V119" s="60">
        <f t="shared" si="19"/>
        <v>46320</v>
      </c>
      <c r="W119" s="121">
        <f t="shared" si="12"/>
        <v>1</v>
      </c>
      <c r="AD119" s="60">
        <f t="shared" si="21"/>
        <v>46320</v>
      </c>
      <c r="AE119">
        <f t="shared" si="13"/>
        <v>148</v>
      </c>
      <c r="AF119">
        <f t="shared" si="14"/>
        <v>148</v>
      </c>
      <c r="AG119">
        <f t="shared" si="15"/>
        <v>138</v>
      </c>
      <c r="AH119">
        <f t="shared" si="16"/>
        <v>138</v>
      </c>
      <c r="AI119">
        <f t="shared" si="17"/>
        <v>138</v>
      </c>
      <c r="AJ119"/>
    </row>
    <row r="120" spans="15:41" x14ac:dyDescent="0.25">
      <c r="O120" s="60">
        <f t="shared" si="20"/>
        <v>46321</v>
      </c>
      <c r="P120" s="121">
        <f t="shared" si="18"/>
        <v>2</v>
      </c>
      <c r="Q120" s="189">
        <f t="shared" si="23"/>
        <v>1</v>
      </c>
      <c r="R120" s="189">
        <f t="shared" si="23"/>
        <v>1</v>
      </c>
      <c r="S120" s="189">
        <f t="shared" si="23"/>
        <v>1</v>
      </c>
      <c r="T120" s="189">
        <f t="shared" si="23"/>
        <v>1</v>
      </c>
      <c r="U120" s="189">
        <f t="shared" si="23"/>
        <v>1</v>
      </c>
      <c r="V120" s="60">
        <f t="shared" si="19"/>
        <v>46321</v>
      </c>
      <c r="W120" s="121">
        <f t="shared" si="12"/>
        <v>2</v>
      </c>
      <c r="AC120" t="s">
        <v>264</v>
      </c>
      <c r="AD120" s="60">
        <f t="shared" si="21"/>
        <v>46321</v>
      </c>
      <c r="AE120">
        <f t="shared" si="13"/>
        <v>147</v>
      </c>
      <c r="AF120">
        <f t="shared" si="14"/>
        <v>147</v>
      </c>
      <c r="AG120">
        <f t="shared" si="15"/>
        <v>137</v>
      </c>
      <c r="AH120">
        <f t="shared" si="16"/>
        <v>137</v>
      </c>
      <c r="AI120">
        <f t="shared" si="17"/>
        <v>137</v>
      </c>
      <c r="AJ120"/>
    </row>
    <row r="121" spans="15:41" x14ac:dyDescent="0.25">
      <c r="O121" s="60">
        <f t="shared" si="20"/>
        <v>46322</v>
      </c>
      <c r="P121" s="121">
        <f t="shared" si="18"/>
        <v>3</v>
      </c>
      <c r="Q121" s="189">
        <f t="shared" si="23"/>
        <v>1</v>
      </c>
      <c r="R121" s="189">
        <f t="shared" si="23"/>
        <v>1</v>
      </c>
      <c r="S121" s="189">
        <f t="shared" si="23"/>
        <v>1</v>
      </c>
      <c r="T121" s="189">
        <f t="shared" si="23"/>
        <v>1</v>
      </c>
      <c r="U121" s="189">
        <f t="shared" si="23"/>
        <v>1</v>
      </c>
      <c r="V121" s="60">
        <f t="shared" si="19"/>
        <v>46322</v>
      </c>
      <c r="W121" s="121">
        <f t="shared" si="12"/>
        <v>3</v>
      </c>
      <c r="AC121" t="s">
        <v>261</v>
      </c>
      <c r="AD121" s="60">
        <f t="shared" si="21"/>
        <v>46322</v>
      </c>
      <c r="AE121">
        <f t="shared" si="13"/>
        <v>146</v>
      </c>
      <c r="AF121">
        <f t="shared" si="14"/>
        <v>146</v>
      </c>
      <c r="AG121">
        <f t="shared" si="15"/>
        <v>136</v>
      </c>
      <c r="AH121">
        <f t="shared" si="16"/>
        <v>136</v>
      </c>
      <c r="AI121">
        <f t="shared" si="17"/>
        <v>136</v>
      </c>
      <c r="AJ121"/>
    </row>
    <row r="122" spans="15:41" x14ac:dyDescent="0.25">
      <c r="O122" s="60">
        <f t="shared" si="20"/>
        <v>46323</v>
      </c>
      <c r="P122" s="121">
        <f t="shared" si="18"/>
        <v>4</v>
      </c>
      <c r="Q122" s="189">
        <f t="shared" si="23"/>
        <v>1</v>
      </c>
      <c r="R122" s="189">
        <f t="shared" si="23"/>
        <v>1</v>
      </c>
      <c r="S122" s="189">
        <f t="shared" si="23"/>
        <v>1</v>
      </c>
      <c r="T122" s="189">
        <f t="shared" si="23"/>
        <v>1</v>
      </c>
      <c r="U122" s="189">
        <f t="shared" si="23"/>
        <v>1</v>
      </c>
      <c r="V122" s="60">
        <f t="shared" si="19"/>
        <v>46323</v>
      </c>
      <c r="W122" s="121">
        <f t="shared" si="12"/>
        <v>4</v>
      </c>
      <c r="AC122" t="s">
        <v>264</v>
      </c>
      <c r="AD122" s="60">
        <f t="shared" si="21"/>
        <v>46323</v>
      </c>
      <c r="AE122">
        <f t="shared" si="13"/>
        <v>145</v>
      </c>
      <c r="AF122">
        <f t="shared" si="14"/>
        <v>145</v>
      </c>
      <c r="AG122">
        <f t="shared" si="15"/>
        <v>135</v>
      </c>
      <c r="AH122">
        <f t="shared" si="16"/>
        <v>135</v>
      </c>
      <c r="AI122">
        <f t="shared" si="17"/>
        <v>135</v>
      </c>
      <c r="AJ122"/>
    </row>
    <row r="123" spans="15:41" x14ac:dyDescent="0.25">
      <c r="O123" s="60">
        <f t="shared" si="20"/>
        <v>46324</v>
      </c>
      <c r="P123" s="121">
        <f t="shared" si="18"/>
        <v>5</v>
      </c>
      <c r="Q123" s="189">
        <f t="shared" si="23"/>
        <v>1</v>
      </c>
      <c r="R123" s="189">
        <f t="shared" si="23"/>
        <v>1</v>
      </c>
      <c r="S123" s="189">
        <f t="shared" si="23"/>
        <v>1</v>
      </c>
      <c r="T123" s="189">
        <f t="shared" si="23"/>
        <v>1</v>
      </c>
      <c r="U123" s="189">
        <f t="shared" si="23"/>
        <v>1</v>
      </c>
      <c r="V123" s="60">
        <f t="shared" si="19"/>
        <v>46324</v>
      </c>
      <c r="W123" s="121">
        <f t="shared" si="12"/>
        <v>5</v>
      </c>
      <c r="AC123" t="s">
        <v>261</v>
      </c>
      <c r="AD123" s="60">
        <f t="shared" si="21"/>
        <v>46324</v>
      </c>
      <c r="AE123">
        <f t="shared" si="13"/>
        <v>144</v>
      </c>
      <c r="AF123">
        <f t="shared" si="14"/>
        <v>144</v>
      </c>
      <c r="AG123">
        <f t="shared" si="15"/>
        <v>134</v>
      </c>
      <c r="AH123">
        <f t="shared" si="16"/>
        <v>134</v>
      </c>
      <c r="AI123">
        <f t="shared" si="17"/>
        <v>134</v>
      </c>
      <c r="AJ123"/>
    </row>
    <row r="124" spans="15:41" x14ac:dyDescent="0.25">
      <c r="O124" s="60">
        <f t="shared" si="20"/>
        <v>46325</v>
      </c>
      <c r="P124" s="121">
        <f t="shared" si="18"/>
        <v>6</v>
      </c>
      <c r="Q124" s="189">
        <f t="shared" si="22"/>
        <v>1</v>
      </c>
      <c r="R124" s="189">
        <f t="shared" si="22"/>
        <v>1</v>
      </c>
      <c r="S124" s="189">
        <f t="shared" si="22"/>
        <v>1</v>
      </c>
      <c r="T124" s="189">
        <f t="shared" si="22"/>
        <v>1</v>
      </c>
      <c r="U124" s="189">
        <f t="shared" si="22"/>
        <v>1</v>
      </c>
      <c r="V124" s="60">
        <f t="shared" si="19"/>
        <v>46325</v>
      </c>
      <c r="W124" s="121">
        <f t="shared" si="12"/>
        <v>6</v>
      </c>
      <c r="AC124" t="s">
        <v>264</v>
      </c>
      <c r="AD124" s="60">
        <f t="shared" si="21"/>
        <v>46325</v>
      </c>
      <c r="AE124">
        <f t="shared" si="13"/>
        <v>143</v>
      </c>
      <c r="AF124">
        <f t="shared" si="14"/>
        <v>143</v>
      </c>
      <c r="AG124">
        <f t="shared" si="15"/>
        <v>133</v>
      </c>
      <c r="AH124">
        <f t="shared" si="16"/>
        <v>133</v>
      </c>
      <c r="AI124">
        <f t="shared" si="17"/>
        <v>133</v>
      </c>
      <c r="AJ124"/>
    </row>
    <row r="125" spans="15:41" x14ac:dyDescent="0.25">
      <c r="O125" s="60">
        <f t="shared" si="20"/>
        <v>46326</v>
      </c>
      <c r="P125" s="121">
        <f t="shared" si="18"/>
        <v>7</v>
      </c>
      <c r="Q125" s="189" t="str">
        <f t="shared" si="22"/>
        <v/>
      </c>
      <c r="R125" s="189" t="str">
        <f t="shared" si="22"/>
        <v/>
      </c>
      <c r="S125" s="189" t="str">
        <f t="shared" si="22"/>
        <v/>
      </c>
      <c r="T125" s="189" t="str">
        <f t="shared" si="22"/>
        <v/>
      </c>
      <c r="U125" s="189" t="str">
        <f t="shared" si="22"/>
        <v/>
      </c>
      <c r="V125" s="60">
        <f t="shared" si="19"/>
        <v>46326</v>
      </c>
      <c r="W125" s="121">
        <f t="shared" si="12"/>
        <v>7</v>
      </c>
      <c r="AD125" s="60">
        <f t="shared" si="21"/>
        <v>46326</v>
      </c>
      <c r="AE125">
        <f t="shared" si="13"/>
        <v>143</v>
      </c>
      <c r="AF125">
        <f t="shared" si="14"/>
        <v>143</v>
      </c>
      <c r="AG125">
        <f t="shared" si="15"/>
        <v>133</v>
      </c>
      <c r="AH125">
        <f t="shared" si="16"/>
        <v>133</v>
      </c>
      <c r="AI125">
        <f t="shared" si="17"/>
        <v>133</v>
      </c>
      <c r="AJ125"/>
    </row>
    <row r="126" spans="15:41" x14ac:dyDescent="0.25">
      <c r="O126" s="60">
        <f t="shared" si="20"/>
        <v>46327</v>
      </c>
      <c r="P126" s="121">
        <f t="shared" si="18"/>
        <v>1</v>
      </c>
      <c r="Q126" s="189" t="str">
        <f t="shared" si="22"/>
        <v/>
      </c>
      <c r="R126" s="189" t="str">
        <f t="shared" si="22"/>
        <v/>
      </c>
      <c r="S126" s="189" t="str">
        <f t="shared" si="22"/>
        <v/>
      </c>
      <c r="T126" s="189" t="str">
        <f t="shared" si="22"/>
        <v/>
      </c>
      <c r="U126" s="189" t="str">
        <f t="shared" si="22"/>
        <v/>
      </c>
      <c r="V126" s="60">
        <f t="shared" si="19"/>
        <v>46327</v>
      </c>
      <c r="W126" s="121">
        <f t="shared" si="12"/>
        <v>1</v>
      </c>
      <c r="AD126" s="60">
        <f t="shared" si="21"/>
        <v>46327</v>
      </c>
      <c r="AE126">
        <f t="shared" si="13"/>
        <v>143</v>
      </c>
      <c r="AF126">
        <f t="shared" si="14"/>
        <v>143</v>
      </c>
      <c r="AG126">
        <f t="shared" si="15"/>
        <v>133</v>
      </c>
      <c r="AH126">
        <f t="shared" si="16"/>
        <v>133</v>
      </c>
      <c r="AI126">
        <f t="shared" si="17"/>
        <v>133</v>
      </c>
      <c r="AJ126"/>
    </row>
    <row r="127" spans="15:41" x14ac:dyDescent="0.25">
      <c r="O127" s="60">
        <f t="shared" si="20"/>
        <v>46328</v>
      </c>
      <c r="P127" s="121">
        <f t="shared" si="18"/>
        <v>2</v>
      </c>
      <c r="Q127" s="189">
        <f t="shared" si="22"/>
        <v>1</v>
      </c>
      <c r="R127" s="189">
        <f t="shared" si="22"/>
        <v>1</v>
      </c>
      <c r="S127" s="189">
        <f t="shared" si="22"/>
        <v>1</v>
      </c>
      <c r="T127" s="189">
        <f t="shared" si="22"/>
        <v>1</v>
      </c>
      <c r="U127" s="189">
        <f t="shared" si="22"/>
        <v>1</v>
      </c>
      <c r="V127" s="60">
        <f t="shared" si="19"/>
        <v>46328</v>
      </c>
      <c r="W127" s="121">
        <f t="shared" si="12"/>
        <v>2</v>
      </c>
      <c r="AC127" t="s">
        <v>261</v>
      </c>
      <c r="AD127" s="60">
        <f t="shared" si="21"/>
        <v>46328</v>
      </c>
      <c r="AE127">
        <f t="shared" si="13"/>
        <v>142</v>
      </c>
      <c r="AF127">
        <f t="shared" si="14"/>
        <v>142</v>
      </c>
      <c r="AG127">
        <f t="shared" si="15"/>
        <v>132</v>
      </c>
      <c r="AH127">
        <f t="shared" si="16"/>
        <v>132</v>
      </c>
      <c r="AI127">
        <f t="shared" si="17"/>
        <v>132</v>
      </c>
      <c r="AJ127"/>
    </row>
    <row r="128" spans="15:41" x14ac:dyDescent="0.25">
      <c r="O128" s="60">
        <f t="shared" si="20"/>
        <v>46329</v>
      </c>
      <c r="P128" s="121">
        <f t="shared" si="18"/>
        <v>3</v>
      </c>
      <c r="Q128" s="189">
        <f t="shared" si="22"/>
        <v>1</v>
      </c>
      <c r="R128" s="189">
        <f t="shared" si="22"/>
        <v>1</v>
      </c>
      <c r="S128" s="189">
        <f t="shared" si="22"/>
        <v>1</v>
      </c>
      <c r="T128" s="189">
        <f t="shared" si="22"/>
        <v>1</v>
      </c>
      <c r="U128" s="189">
        <f t="shared" si="22"/>
        <v>1</v>
      </c>
      <c r="V128" s="60">
        <f t="shared" si="19"/>
        <v>46329</v>
      </c>
      <c r="W128" s="121">
        <f t="shared" si="12"/>
        <v>3</v>
      </c>
      <c r="AC128" t="s">
        <v>264</v>
      </c>
      <c r="AD128" s="60">
        <f t="shared" si="21"/>
        <v>46329</v>
      </c>
      <c r="AE128">
        <f t="shared" si="13"/>
        <v>141</v>
      </c>
      <c r="AF128">
        <f t="shared" si="14"/>
        <v>141</v>
      </c>
      <c r="AG128">
        <f t="shared" si="15"/>
        <v>131</v>
      </c>
      <c r="AH128">
        <f t="shared" si="16"/>
        <v>131</v>
      </c>
      <c r="AI128">
        <f t="shared" si="17"/>
        <v>131</v>
      </c>
      <c r="AJ128"/>
    </row>
    <row r="129" spans="15:36" x14ac:dyDescent="0.25">
      <c r="O129" s="60">
        <f t="shared" si="20"/>
        <v>46330</v>
      </c>
      <c r="P129" s="121">
        <f t="shared" si="18"/>
        <v>4</v>
      </c>
      <c r="Q129" s="189">
        <f t="shared" si="22"/>
        <v>1</v>
      </c>
      <c r="R129" s="189">
        <f t="shared" si="22"/>
        <v>1</v>
      </c>
      <c r="S129" s="189">
        <f t="shared" si="22"/>
        <v>1</v>
      </c>
      <c r="T129" s="189">
        <f t="shared" si="22"/>
        <v>1</v>
      </c>
      <c r="U129" s="189">
        <f t="shared" si="22"/>
        <v>1</v>
      </c>
      <c r="V129" s="60">
        <f t="shared" si="19"/>
        <v>46330</v>
      </c>
      <c r="W129" s="121">
        <f t="shared" si="12"/>
        <v>4</v>
      </c>
      <c r="AC129" t="s">
        <v>261</v>
      </c>
      <c r="AD129" s="60">
        <f t="shared" si="21"/>
        <v>46330</v>
      </c>
      <c r="AE129">
        <f t="shared" si="13"/>
        <v>140</v>
      </c>
      <c r="AF129">
        <f t="shared" si="14"/>
        <v>140</v>
      </c>
      <c r="AG129">
        <f t="shared" si="15"/>
        <v>130</v>
      </c>
      <c r="AH129">
        <f t="shared" si="16"/>
        <v>130</v>
      </c>
      <c r="AI129">
        <f t="shared" si="17"/>
        <v>130</v>
      </c>
      <c r="AJ129"/>
    </row>
    <row r="130" spans="15:36" x14ac:dyDescent="0.25">
      <c r="O130" s="60">
        <f t="shared" si="20"/>
        <v>46331</v>
      </c>
      <c r="P130" s="121">
        <f t="shared" si="18"/>
        <v>5</v>
      </c>
      <c r="Q130" s="189">
        <f t="shared" si="22"/>
        <v>1</v>
      </c>
      <c r="R130" s="189">
        <f t="shared" si="22"/>
        <v>1</v>
      </c>
      <c r="S130" s="189">
        <f t="shared" si="22"/>
        <v>1</v>
      </c>
      <c r="T130" s="189">
        <f t="shared" si="22"/>
        <v>1</v>
      </c>
      <c r="U130" s="189">
        <f t="shared" si="22"/>
        <v>1</v>
      </c>
      <c r="V130" s="60">
        <f t="shared" si="19"/>
        <v>46331</v>
      </c>
      <c r="W130" s="121">
        <f t="shared" si="12"/>
        <v>5</v>
      </c>
      <c r="AC130" t="s">
        <v>264</v>
      </c>
      <c r="AD130" s="60">
        <f t="shared" si="21"/>
        <v>46331</v>
      </c>
      <c r="AE130">
        <f t="shared" si="13"/>
        <v>139</v>
      </c>
      <c r="AF130">
        <f t="shared" si="14"/>
        <v>139</v>
      </c>
      <c r="AG130">
        <f t="shared" si="15"/>
        <v>129</v>
      </c>
      <c r="AH130">
        <f t="shared" si="16"/>
        <v>129</v>
      </c>
      <c r="AI130">
        <f t="shared" si="17"/>
        <v>129</v>
      </c>
      <c r="AJ130"/>
    </row>
    <row r="131" spans="15:36" x14ac:dyDescent="0.25">
      <c r="O131" s="60">
        <f t="shared" si="20"/>
        <v>46332</v>
      </c>
      <c r="P131" s="121">
        <f t="shared" si="18"/>
        <v>6</v>
      </c>
      <c r="Q131" s="189">
        <f t="shared" si="22"/>
        <v>1</v>
      </c>
      <c r="R131" s="189">
        <f t="shared" si="22"/>
        <v>1</v>
      </c>
      <c r="S131" s="189">
        <f t="shared" si="22"/>
        <v>1</v>
      </c>
      <c r="T131" s="189">
        <f t="shared" si="22"/>
        <v>1</v>
      </c>
      <c r="U131" s="189">
        <f t="shared" si="22"/>
        <v>1</v>
      </c>
      <c r="V131" s="60">
        <f t="shared" si="19"/>
        <v>46332</v>
      </c>
      <c r="W131" s="121">
        <f t="shared" ref="W131:W194" si="24">WEEKDAY(V131)</f>
        <v>6</v>
      </c>
      <c r="AC131" t="s">
        <v>261</v>
      </c>
      <c r="AD131" s="60">
        <f t="shared" si="21"/>
        <v>46332</v>
      </c>
      <c r="AE131">
        <f t="shared" ref="AE131:AE194" si="25">AE130-(IF(Q131=1,1,0))</f>
        <v>138</v>
      </c>
      <c r="AF131">
        <f t="shared" ref="AF131:AF194" si="26">AF130-(IF(R131=1,1,0))</f>
        <v>138</v>
      </c>
      <c r="AG131">
        <f t="shared" ref="AG131:AG194" si="27">AG130-(IF(S131=1,1,0))</f>
        <v>128</v>
      </c>
      <c r="AH131">
        <f t="shared" ref="AH131:AH194" si="28">AH130-(IF(T131=1,1,0))</f>
        <v>128</v>
      </c>
      <c r="AI131">
        <f t="shared" ref="AI131:AI194" si="29">AI130-(IF(U131=1,1,0))</f>
        <v>128</v>
      </c>
      <c r="AJ131"/>
    </row>
    <row r="132" spans="15:36" x14ac:dyDescent="0.25">
      <c r="O132" s="60">
        <f t="shared" si="20"/>
        <v>46333</v>
      </c>
      <c r="P132" s="121">
        <f t="shared" ref="P132:P195" si="30">WEEKDAY(O132)</f>
        <v>7</v>
      </c>
      <c r="Q132" s="189" t="str">
        <f t="shared" si="22"/>
        <v/>
      </c>
      <c r="R132" s="189" t="str">
        <f t="shared" si="22"/>
        <v/>
      </c>
      <c r="S132" s="189" t="str">
        <f t="shared" si="22"/>
        <v/>
      </c>
      <c r="T132" s="189" t="str">
        <f t="shared" si="22"/>
        <v/>
      </c>
      <c r="U132" s="189" t="str">
        <f t="shared" si="22"/>
        <v/>
      </c>
      <c r="V132" s="60">
        <f t="shared" ref="V132:V195" si="31">V131+1</f>
        <v>46333</v>
      </c>
      <c r="W132" s="121">
        <f t="shared" si="24"/>
        <v>7</v>
      </c>
      <c r="AD132" s="60">
        <f t="shared" si="21"/>
        <v>46333</v>
      </c>
      <c r="AE132">
        <f t="shared" si="25"/>
        <v>138</v>
      </c>
      <c r="AF132">
        <f t="shared" si="26"/>
        <v>138</v>
      </c>
      <c r="AG132">
        <f t="shared" si="27"/>
        <v>128</v>
      </c>
      <c r="AH132">
        <f t="shared" si="28"/>
        <v>128</v>
      </c>
      <c r="AI132">
        <f t="shared" si="29"/>
        <v>128</v>
      </c>
      <c r="AJ132"/>
    </row>
    <row r="133" spans="15:36" x14ac:dyDescent="0.25">
      <c r="O133" s="60">
        <f t="shared" si="20"/>
        <v>46334</v>
      </c>
      <c r="P133" s="121">
        <f t="shared" si="30"/>
        <v>1</v>
      </c>
      <c r="Q133" s="189" t="str">
        <f t="shared" si="22"/>
        <v/>
      </c>
      <c r="R133" s="189" t="str">
        <f t="shared" si="22"/>
        <v/>
      </c>
      <c r="S133" s="189" t="str">
        <f t="shared" si="22"/>
        <v/>
      </c>
      <c r="T133" s="189" t="str">
        <f t="shared" si="22"/>
        <v/>
      </c>
      <c r="U133" s="189" t="str">
        <f t="shared" si="22"/>
        <v/>
      </c>
      <c r="V133" s="60">
        <f t="shared" si="31"/>
        <v>46334</v>
      </c>
      <c r="W133" s="121">
        <f t="shared" si="24"/>
        <v>1</v>
      </c>
      <c r="AD133" s="60">
        <f t="shared" si="21"/>
        <v>46334</v>
      </c>
      <c r="AE133">
        <f t="shared" si="25"/>
        <v>138</v>
      </c>
      <c r="AF133">
        <f t="shared" si="26"/>
        <v>138</v>
      </c>
      <c r="AG133">
        <f t="shared" si="27"/>
        <v>128</v>
      </c>
      <c r="AH133">
        <f t="shared" si="28"/>
        <v>128</v>
      </c>
      <c r="AI133">
        <f t="shared" si="29"/>
        <v>128</v>
      </c>
      <c r="AJ133"/>
    </row>
    <row r="134" spans="15:36" x14ac:dyDescent="0.25">
      <c r="O134" s="60">
        <f t="shared" ref="O134:O197" si="32">O133+1</f>
        <v>46335</v>
      </c>
      <c r="P134" s="121">
        <f t="shared" si="30"/>
        <v>2</v>
      </c>
      <c r="Q134" s="189">
        <f t="shared" si="22"/>
        <v>1</v>
      </c>
      <c r="R134" s="189">
        <f t="shared" si="22"/>
        <v>1</v>
      </c>
      <c r="S134" s="189">
        <f t="shared" si="22"/>
        <v>1</v>
      </c>
      <c r="T134" s="189">
        <f t="shared" si="22"/>
        <v>1</v>
      </c>
      <c r="U134" s="189">
        <f t="shared" si="22"/>
        <v>1</v>
      </c>
      <c r="V134" s="60">
        <f t="shared" si="31"/>
        <v>46335</v>
      </c>
      <c r="W134" s="121">
        <f t="shared" si="24"/>
        <v>2</v>
      </c>
      <c r="AC134" t="s">
        <v>264</v>
      </c>
      <c r="AD134" s="60">
        <f t="shared" ref="AD134:AD197" si="33">AD133+1</f>
        <v>46335</v>
      </c>
      <c r="AE134">
        <f t="shared" si="25"/>
        <v>137</v>
      </c>
      <c r="AF134">
        <f t="shared" si="26"/>
        <v>137</v>
      </c>
      <c r="AG134">
        <f t="shared" si="27"/>
        <v>127</v>
      </c>
      <c r="AH134">
        <f t="shared" si="28"/>
        <v>127</v>
      </c>
      <c r="AI134">
        <f t="shared" si="29"/>
        <v>127</v>
      </c>
      <c r="AJ134"/>
    </row>
    <row r="135" spans="15:36" x14ac:dyDescent="0.25">
      <c r="O135" s="60">
        <f t="shared" si="32"/>
        <v>46336</v>
      </c>
      <c r="P135" s="121">
        <f t="shared" si="30"/>
        <v>3</v>
      </c>
      <c r="Q135" s="189">
        <f t="shared" si="22"/>
        <v>1</v>
      </c>
      <c r="R135" s="189">
        <f t="shared" si="22"/>
        <v>1</v>
      </c>
      <c r="S135" s="189">
        <f t="shared" si="22"/>
        <v>1</v>
      </c>
      <c r="T135" s="189">
        <f t="shared" si="22"/>
        <v>1</v>
      </c>
      <c r="U135" s="189">
        <f t="shared" si="22"/>
        <v>1</v>
      </c>
      <c r="V135" s="60">
        <f t="shared" si="31"/>
        <v>46336</v>
      </c>
      <c r="W135" s="121">
        <f t="shared" si="24"/>
        <v>3</v>
      </c>
      <c r="AD135" s="60">
        <f t="shared" si="33"/>
        <v>46336</v>
      </c>
      <c r="AE135">
        <f t="shared" si="25"/>
        <v>136</v>
      </c>
      <c r="AF135">
        <f t="shared" si="26"/>
        <v>136</v>
      </c>
      <c r="AG135">
        <f t="shared" si="27"/>
        <v>126</v>
      </c>
      <c r="AH135">
        <f t="shared" si="28"/>
        <v>126</v>
      </c>
      <c r="AI135">
        <f t="shared" si="29"/>
        <v>126</v>
      </c>
      <c r="AJ135"/>
    </row>
    <row r="136" spans="15:36" x14ac:dyDescent="0.25">
      <c r="O136" s="60">
        <f t="shared" si="32"/>
        <v>46337</v>
      </c>
      <c r="P136" s="121">
        <f t="shared" si="30"/>
        <v>4</v>
      </c>
      <c r="Q136" s="189">
        <f t="shared" si="22"/>
        <v>1</v>
      </c>
      <c r="R136" s="189">
        <f t="shared" si="22"/>
        <v>1</v>
      </c>
      <c r="S136" s="189">
        <f t="shared" si="22"/>
        <v>1</v>
      </c>
      <c r="T136" s="189">
        <f t="shared" si="22"/>
        <v>1</v>
      </c>
      <c r="U136" s="189">
        <f t="shared" si="22"/>
        <v>1</v>
      </c>
      <c r="V136" s="60">
        <f t="shared" si="31"/>
        <v>46337</v>
      </c>
      <c r="W136" s="121">
        <f t="shared" si="24"/>
        <v>4</v>
      </c>
      <c r="AC136" t="s">
        <v>261</v>
      </c>
      <c r="AD136" s="60">
        <f t="shared" si="33"/>
        <v>46337</v>
      </c>
      <c r="AE136">
        <f t="shared" si="25"/>
        <v>135</v>
      </c>
      <c r="AF136">
        <f t="shared" si="26"/>
        <v>135</v>
      </c>
      <c r="AG136">
        <f t="shared" si="27"/>
        <v>125</v>
      </c>
      <c r="AH136">
        <f t="shared" si="28"/>
        <v>125</v>
      </c>
      <c r="AI136">
        <f t="shared" si="29"/>
        <v>125</v>
      </c>
      <c r="AJ136"/>
    </row>
    <row r="137" spans="15:36" x14ac:dyDescent="0.25">
      <c r="O137" s="60">
        <f t="shared" si="32"/>
        <v>46338</v>
      </c>
      <c r="P137" s="121">
        <f t="shared" si="30"/>
        <v>5</v>
      </c>
      <c r="Q137" s="189">
        <f t="shared" si="22"/>
        <v>1</v>
      </c>
      <c r="R137" s="189">
        <f t="shared" si="22"/>
        <v>1</v>
      </c>
      <c r="S137" s="189">
        <f t="shared" si="22"/>
        <v>1</v>
      </c>
      <c r="T137" s="189">
        <f t="shared" si="22"/>
        <v>1</v>
      </c>
      <c r="U137" s="189">
        <f t="shared" si="22"/>
        <v>1</v>
      </c>
      <c r="V137" s="60">
        <f t="shared" si="31"/>
        <v>46338</v>
      </c>
      <c r="W137" s="121">
        <f t="shared" si="24"/>
        <v>5</v>
      </c>
      <c r="AC137" t="s">
        <v>264</v>
      </c>
      <c r="AD137" s="60">
        <f t="shared" si="33"/>
        <v>46338</v>
      </c>
      <c r="AE137">
        <f t="shared" si="25"/>
        <v>134</v>
      </c>
      <c r="AF137">
        <f t="shared" si="26"/>
        <v>134</v>
      </c>
      <c r="AG137">
        <f t="shared" si="27"/>
        <v>124</v>
      </c>
      <c r="AH137">
        <f t="shared" si="28"/>
        <v>124</v>
      </c>
      <c r="AI137">
        <f t="shared" si="29"/>
        <v>124</v>
      </c>
      <c r="AJ137"/>
    </row>
    <row r="138" spans="15:36" x14ac:dyDescent="0.25">
      <c r="O138" s="60">
        <f t="shared" si="32"/>
        <v>46339</v>
      </c>
      <c r="P138" s="121">
        <f t="shared" si="30"/>
        <v>6</v>
      </c>
      <c r="Q138" s="189">
        <f t="shared" si="22"/>
        <v>1</v>
      </c>
      <c r="R138" s="189">
        <f t="shared" si="22"/>
        <v>1</v>
      </c>
      <c r="S138" s="189">
        <f t="shared" si="22"/>
        <v>1</v>
      </c>
      <c r="T138" s="189">
        <f t="shared" si="22"/>
        <v>1</v>
      </c>
      <c r="U138" s="189">
        <f t="shared" si="22"/>
        <v>1</v>
      </c>
      <c r="V138" s="60">
        <f t="shared" si="31"/>
        <v>46339</v>
      </c>
      <c r="W138" s="121">
        <f t="shared" si="24"/>
        <v>6</v>
      </c>
      <c r="X138" t="s">
        <v>576</v>
      </c>
      <c r="Y138" t="s">
        <v>576</v>
      </c>
      <c r="Z138" t="s">
        <v>576</v>
      </c>
      <c r="AA138" t="s">
        <v>576</v>
      </c>
      <c r="AB138" t="s">
        <v>576</v>
      </c>
      <c r="AD138" s="60">
        <f t="shared" si="33"/>
        <v>46339</v>
      </c>
      <c r="AE138">
        <f t="shared" si="25"/>
        <v>133</v>
      </c>
      <c r="AF138">
        <f t="shared" si="26"/>
        <v>133</v>
      </c>
      <c r="AG138">
        <f t="shared" si="27"/>
        <v>123</v>
      </c>
      <c r="AH138">
        <f t="shared" si="28"/>
        <v>123</v>
      </c>
      <c r="AI138">
        <f t="shared" si="29"/>
        <v>123</v>
      </c>
      <c r="AJ138"/>
    </row>
    <row r="139" spans="15:36" x14ac:dyDescent="0.25">
      <c r="O139" s="60">
        <f t="shared" si="32"/>
        <v>46340</v>
      </c>
      <c r="P139" s="121">
        <f t="shared" si="30"/>
        <v>7</v>
      </c>
      <c r="Q139" s="189" t="str">
        <f t="shared" si="22"/>
        <v/>
      </c>
      <c r="R139" s="189" t="str">
        <f t="shared" si="22"/>
        <v/>
      </c>
      <c r="S139" s="189" t="str">
        <f t="shared" si="22"/>
        <v/>
      </c>
      <c r="T139" s="189" t="str">
        <f t="shared" si="22"/>
        <v/>
      </c>
      <c r="U139" s="189" t="str">
        <f t="shared" si="22"/>
        <v/>
      </c>
      <c r="V139" s="60">
        <f t="shared" si="31"/>
        <v>46340</v>
      </c>
      <c r="W139" s="121">
        <f t="shared" si="24"/>
        <v>7</v>
      </c>
      <c r="AD139" s="60">
        <f t="shared" si="33"/>
        <v>46340</v>
      </c>
      <c r="AE139">
        <f t="shared" si="25"/>
        <v>133</v>
      </c>
      <c r="AF139">
        <f t="shared" si="26"/>
        <v>133</v>
      </c>
      <c r="AG139">
        <f t="shared" si="27"/>
        <v>123</v>
      </c>
      <c r="AH139">
        <f t="shared" si="28"/>
        <v>123</v>
      </c>
      <c r="AI139">
        <f t="shared" si="29"/>
        <v>123</v>
      </c>
      <c r="AJ139"/>
    </row>
    <row r="140" spans="15:36" x14ac:dyDescent="0.25">
      <c r="O140" s="60">
        <f t="shared" si="32"/>
        <v>46341</v>
      </c>
      <c r="P140" s="121">
        <f t="shared" si="30"/>
        <v>1</v>
      </c>
      <c r="Q140" s="189" t="str">
        <f t="shared" si="22"/>
        <v/>
      </c>
      <c r="R140" s="189" t="str">
        <f t="shared" si="22"/>
        <v/>
      </c>
      <c r="S140" s="189" t="str">
        <f t="shared" si="22"/>
        <v/>
      </c>
      <c r="T140" s="189" t="str">
        <f t="shared" si="22"/>
        <v/>
      </c>
      <c r="U140" s="189" t="str">
        <f t="shared" si="22"/>
        <v/>
      </c>
      <c r="V140" s="60">
        <f t="shared" si="31"/>
        <v>46341</v>
      </c>
      <c r="W140" s="121">
        <f t="shared" si="24"/>
        <v>1</v>
      </c>
      <c r="AD140" s="60">
        <f t="shared" si="33"/>
        <v>46341</v>
      </c>
      <c r="AE140">
        <f t="shared" si="25"/>
        <v>133</v>
      </c>
      <c r="AF140">
        <f t="shared" si="26"/>
        <v>133</v>
      </c>
      <c r="AG140">
        <f t="shared" si="27"/>
        <v>123</v>
      </c>
      <c r="AH140">
        <f t="shared" si="28"/>
        <v>123</v>
      </c>
      <c r="AI140">
        <f t="shared" si="29"/>
        <v>123</v>
      </c>
      <c r="AJ140"/>
    </row>
    <row r="141" spans="15:36" x14ac:dyDescent="0.25">
      <c r="O141" s="60">
        <f t="shared" si="32"/>
        <v>46342</v>
      </c>
      <c r="P141" s="121">
        <f t="shared" si="30"/>
        <v>2</v>
      </c>
      <c r="Q141" s="189">
        <f t="shared" si="22"/>
        <v>1</v>
      </c>
      <c r="R141" s="189">
        <f t="shared" si="22"/>
        <v>1</v>
      </c>
      <c r="S141" s="189">
        <f t="shared" si="22"/>
        <v>1</v>
      </c>
      <c r="T141" s="189">
        <f t="shared" si="22"/>
        <v>1</v>
      </c>
      <c r="U141" s="189">
        <f t="shared" si="22"/>
        <v>1</v>
      </c>
      <c r="V141" s="60">
        <f t="shared" si="31"/>
        <v>46342</v>
      </c>
      <c r="W141" s="121">
        <f t="shared" si="24"/>
        <v>2</v>
      </c>
      <c r="AC141" t="s">
        <v>261</v>
      </c>
      <c r="AD141" s="60">
        <f t="shared" si="33"/>
        <v>46342</v>
      </c>
      <c r="AE141">
        <f t="shared" si="25"/>
        <v>132</v>
      </c>
      <c r="AF141">
        <f t="shared" si="26"/>
        <v>132</v>
      </c>
      <c r="AG141">
        <f t="shared" si="27"/>
        <v>122</v>
      </c>
      <c r="AH141">
        <f t="shared" si="28"/>
        <v>122</v>
      </c>
      <c r="AI141">
        <f t="shared" si="29"/>
        <v>122</v>
      </c>
      <c r="AJ141"/>
    </row>
    <row r="142" spans="15:36" x14ac:dyDescent="0.25">
      <c r="O142" s="60">
        <f t="shared" si="32"/>
        <v>46343</v>
      </c>
      <c r="P142" s="121">
        <f t="shared" si="30"/>
        <v>3</v>
      </c>
      <c r="Q142" s="189">
        <f t="shared" si="22"/>
        <v>1</v>
      </c>
      <c r="R142" s="189">
        <f t="shared" si="22"/>
        <v>1</v>
      </c>
      <c r="S142" s="189">
        <f t="shared" si="22"/>
        <v>1</v>
      </c>
      <c r="T142" s="189">
        <f t="shared" si="22"/>
        <v>1</v>
      </c>
      <c r="U142" s="189">
        <f t="shared" si="22"/>
        <v>1</v>
      </c>
      <c r="V142" s="60">
        <f t="shared" si="31"/>
        <v>46343</v>
      </c>
      <c r="W142" s="121">
        <f t="shared" si="24"/>
        <v>3</v>
      </c>
      <c r="AC142" t="s">
        <v>264</v>
      </c>
      <c r="AD142" s="60">
        <f t="shared" si="33"/>
        <v>46343</v>
      </c>
      <c r="AE142">
        <f t="shared" si="25"/>
        <v>131</v>
      </c>
      <c r="AF142">
        <f t="shared" si="26"/>
        <v>131</v>
      </c>
      <c r="AG142">
        <f t="shared" si="27"/>
        <v>121</v>
      </c>
      <c r="AH142">
        <f t="shared" si="28"/>
        <v>121</v>
      </c>
      <c r="AI142">
        <f t="shared" si="29"/>
        <v>121</v>
      </c>
      <c r="AJ142"/>
    </row>
    <row r="143" spans="15:36" x14ac:dyDescent="0.25">
      <c r="O143" s="60">
        <f t="shared" si="32"/>
        <v>46344</v>
      </c>
      <c r="P143" s="121">
        <f t="shared" si="30"/>
        <v>4</v>
      </c>
      <c r="Q143" s="189">
        <f t="shared" si="22"/>
        <v>1</v>
      </c>
      <c r="R143" s="189">
        <f t="shared" si="22"/>
        <v>1</v>
      </c>
      <c r="S143" s="189">
        <f t="shared" si="22"/>
        <v>1</v>
      </c>
      <c r="T143" s="189">
        <f t="shared" si="22"/>
        <v>1</v>
      </c>
      <c r="U143" s="189">
        <f t="shared" si="22"/>
        <v>1</v>
      </c>
      <c r="V143" s="60">
        <f t="shared" si="31"/>
        <v>46344</v>
      </c>
      <c r="W143" s="121">
        <f t="shared" si="24"/>
        <v>4</v>
      </c>
      <c r="AC143" t="s">
        <v>261</v>
      </c>
      <c r="AD143" s="60">
        <f t="shared" si="33"/>
        <v>46344</v>
      </c>
      <c r="AE143">
        <f t="shared" si="25"/>
        <v>130</v>
      </c>
      <c r="AF143">
        <f t="shared" si="26"/>
        <v>130</v>
      </c>
      <c r="AG143">
        <f t="shared" si="27"/>
        <v>120</v>
      </c>
      <c r="AH143">
        <f t="shared" si="28"/>
        <v>120</v>
      </c>
      <c r="AI143">
        <f t="shared" si="29"/>
        <v>120</v>
      </c>
      <c r="AJ143"/>
    </row>
    <row r="144" spans="15:36" x14ac:dyDescent="0.25">
      <c r="O144" s="60">
        <f t="shared" si="32"/>
        <v>46345</v>
      </c>
      <c r="P144" s="121">
        <f t="shared" si="30"/>
        <v>5</v>
      </c>
      <c r="Q144" s="189">
        <f t="shared" si="22"/>
        <v>1</v>
      </c>
      <c r="R144" s="189">
        <f t="shared" si="22"/>
        <v>1</v>
      </c>
      <c r="S144" s="189">
        <f t="shared" si="22"/>
        <v>1</v>
      </c>
      <c r="T144" s="189">
        <f t="shared" si="22"/>
        <v>1</v>
      </c>
      <c r="U144" s="189">
        <f t="shared" si="22"/>
        <v>1</v>
      </c>
      <c r="V144" s="60">
        <f t="shared" si="31"/>
        <v>46345</v>
      </c>
      <c r="W144" s="121">
        <f t="shared" si="24"/>
        <v>5</v>
      </c>
      <c r="AC144" t="s">
        <v>264</v>
      </c>
      <c r="AD144" s="60">
        <f t="shared" si="33"/>
        <v>46345</v>
      </c>
      <c r="AE144">
        <f t="shared" si="25"/>
        <v>129</v>
      </c>
      <c r="AF144">
        <f t="shared" si="26"/>
        <v>129</v>
      </c>
      <c r="AG144">
        <f t="shared" si="27"/>
        <v>119</v>
      </c>
      <c r="AH144">
        <f t="shared" si="28"/>
        <v>119</v>
      </c>
      <c r="AI144">
        <f t="shared" si="29"/>
        <v>119</v>
      </c>
      <c r="AJ144"/>
    </row>
    <row r="145" spans="15:36" x14ac:dyDescent="0.25">
      <c r="O145" s="60">
        <f t="shared" si="32"/>
        <v>46346</v>
      </c>
      <c r="P145" s="121">
        <f t="shared" si="30"/>
        <v>6</v>
      </c>
      <c r="Q145" s="189">
        <f t="shared" si="22"/>
        <v>1</v>
      </c>
      <c r="R145" s="189">
        <f t="shared" si="22"/>
        <v>1</v>
      </c>
      <c r="S145" s="189">
        <f t="shared" si="22"/>
        <v>1</v>
      </c>
      <c r="T145" s="189">
        <f t="shared" si="22"/>
        <v>1</v>
      </c>
      <c r="U145" s="189">
        <f t="shared" si="22"/>
        <v>1</v>
      </c>
      <c r="V145" s="60">
        <f t="shared" si="31"/>
        <v>46346</v>
      </c>
      <c r="W145" s="121">
        <f t="shared" si="24"/>
        <v>6</v>
      </c>
      <c r="AC145" t="s">
        <v>261</v>
      </c>
      <c r="AD145" s="60">
        <f t="shared" si="33"/>
        <v>46346</v>
      </c>
      <c r="AE145">
        <f t="shared" si="25"/>
        <v>128</v>
      </c>
      <c r="AF145">
        <f t="shared" si="26"/>
        <v>128</v>
      </c>
      <c r="AG145">
        <f t="shared" si="27"/>
        <v>118</v>
      </c>
      <c r="AH145">
        <f t="shared" si="28"/>
        <v>118</v>
      </c>
      <c r="AI145">
        <f t="shared" si="29"/>
        <v>118</v>
      </c>
      <c r="AJ145"/>
    </row>
    <row r="146" spans="15:36" x14ac:dyDescent="0.25">
      <c r="O146" s="60">
        <f t="shared" si="32"/>
        <v>46347</v>
      </c>
      <c r="P146" s="121">
        <f t="shared" si="30"/>
        <v>7</v>
      </c>
      <c r="Q146" s="189" t="str">
        <f t="shared" si="22"/>
        <v/>
      </c>
      <c r="R146" s="189" t="str">
        <f t="shared" si="22"/>
        <v/>
      </c>
      <c r="S146" s="189" t="str">
        <f t="shared" si="22"/>
        <v/>
      </c>
      <c r="T146" s="189" t="str">
        <f t="shared" si="22"/>
        <v/>
      </c>
      <c r="U146" s="189" t="str">
        <f t="shared" si="22"/>
        <v/>
      </c>
      <c r="V146" s="60">
        <f t="shared" si="31"/>
        <v>46347</v>
      </c>
      <c r="W146" s="121">
        <f t="shared" si="24"/>
        <v>7</v>
      </c>
      <c r="AD146" s="60">
        <f t="shared" si="33"/>
        <v>46347</v>
      </c>
      <c r="AE146">
        <f t="shared" si="25"/>
        <v>128</v>
      </c>
      <c r="AF146">
        <f t="shared" si="26"/>
        <v>128</v>
      </c>
      <c r="AG146">
        <f t="shared" si="27"/>
        <v>118</v>
      </c>
      <c r="AH146">
        <f t="shared" si="28"/>
        <v>118</v>
      </c>
      <c r="AI146">
        <f t="shared" si="29"/>
        <v>118</v>
      </c>
      <c r="AJ146"/>
    </row>
    <row r="147" spans="15:36" x14ac:dyDescent="0.25">
      <c r="O147" s="60">
        <f t="shared" si="32"/>
        <v>46348</v>
      </c>
      <c r="P147" s="121">
        <f t="shared" si="30"/>
        <v>1</v>
      </c>
      <c r="R147" s="189"/>
      <c r="S147" s="189"/>
      <c r="T147" s="189"/>
      <c r="U147" s="189"/>
      <c r="V147" s="60">
        <f t="shared" si="31"/>
        <v>46348</v>
      </c>
      <c r="W147" s="121">
        <f t="shared" si="24"/>
        <v>1</v>
      </c>
      <c r="AD147" s="60">
        <f t="shared" si="33"/>
        <v>46348</v>
      </c>
      <c r="AE147">
        <f t="shared" si="25"/>
        <v>128</v>
      </c>
      <c r="AF147">
        <f t="shared" si="26"/>
        <v>128</v>
      </c>
      <c r="AG147">
        <f t="shared" si="27"/>
        <v>118</v>
      </c>
      <c r="AH147">
        <f t="shared" si="28"/>
        <v>118</v>
      </c>
      <c r="AI147">
        <f t="shared" si="29"/>
        <v>118</v>
      </c>
      <c r="AJ147"/>
    </row>
    <row r="148" spans="15:36" x14ac:dyDescent="0.25">
      <c r="O148" s="60">
        <f t="shared" si="32"/>
        <v>46349</v>
      </c>
      <c r="P148" s="121">
        <f t="shared" si="30"/>
        <v>2</v>
      </c>
      <c r="Q148" s="189">
        <f t="shared" ref="Q148:U150" si="34">IF(OR($P148=2,$P148=3,$P148=4,$P148=5,$P148=6),1,"")</f>
        <v>1</v>
      </c>
      <c r="R148" s="189">
        <f t="shared" si="34"/>
        <v>1</v>
      </c>
      <c r="S148" s="189">
        <f t="shared" si="34"/>
        <v>1</v>
      </c>
      <c r="T148" s="189">
        <f t="shared" si="34"/>
        <v>1</v>
      </c>
      <c r="U148" s="189">
        <f t="shared" si="34"/>
        <v>1</v>
      </c>
      <c r="V148" s="60">
        <f t="shared" si="31"/>
        <v>46349</v>
      </c>
      <c r="W148" s="121">
        <f t="shared" si="24"/>
        <v>2</v>
      </c>
      <c r="AC148" t="s">
        <v>264</v>
      </c>
      <c r="AD148" s="60">
        <f t="shared" si="33"/>
        <v>46349</v>
      </c>
      <c r="AE148">
        <f t="shared" si="25"/>
        <v>127</v>
      </c>
      <c r="AF148">
        <f t="shared" si="26"/>
        <v>127</v>
      </c>
      <c r="AG148">
        <f t="shared" si="27"/>
        <v>117</v>
      </c>
      <c r="AH148">
        <f t="shared" si="28"/>
        <v>117</v>
      </c>
      <c r="AI148">
        <f t="shared" si="29"/>
        <v>117</v>
      </c>
      <c r="AJ148"/>
    </row>
    <row r="149" spans="15:36" x14ac:dyDescent="0.25">
      <c r="O149" s="60">
        <f t="shared" si="32"/>
        <v>46350</v>
      </c>
      <c r="P149" s="121">
        <f t="shared" si="30"/>
        <v>3</v>
      </c>
      <c r="Q149" s="189">
        <f t="shared" si="34"/>
        <v>1</v>
      </c>
      <c r="R149" s="189">
        <f t="shared" si="34"/>
        <v>1</v>
      </c>
      <c r="S149" s="189">
        <f t="shared" si="34"/>
        <v>1</v>
      </c>
      <c r="T149" s="189">
        <f t="shared" si="34"/>
        <v>1</v>
      </c>
      <c r="U149" s="189">
        <f t="shared" si="34"/>
        <v>1</v>
      </c>
      <c r="V149" s="60">
        <f t="shared" si="31"/>
        <v>46350</v>
      </c>
      <c r="W149" s="121">
        <f t="shared" si="24"/>
        <v>3</v>
      </c>
      <c r="AC149" t="s">
        <v>261</v>
      </c>
      <c r="AD149" s="60">
        <f t="shared" si="33"/>
        <v>46350</v>
      </c>
      <c r="AE149">
        <f t="shared" si="25"/>
        <v>126</v>
      </c>
      <c r="AF149">
        <f t="shared" si="26"/>
        <v>126</v>
      </c>
      <c r="AG149">
        <f t="shared" si="27"/>
        <v>116</v>
      </c>
      <c r="AH149">
        <f t="shared" si="28"/>
        <v>116</v>
      </c>
      <c r="AI149">
        <f t="shared" si="29"/>
        <v>116</v>
      </c>
      <c r="AJ149"/>
    </row>
    <row r="150" spans="15:36" x14ac:dyDescent="0.25">
      <c r="O150" s="60">
        <f t="shared" si="32"/>
        <v>46351</v>
      </c>
      <c r="P150" s="121">
        <f t="shared" si="30"/>
        <v>4</v>
      </c>
      <c r="Q150" s="189" t="s">
        <v>190</v>
      </c>
      <c r="R150" s="189" t="s">
        <v>190</v>
      </c>
      <c r="S150" s="189" t="s">
        <v>190</v>
      </c>
      <c r="T150" s="189" t="s">
        <v>190</v>
      </c>
      <c r="U150" s="189" t="s">
        <v>190</v>
      </c>
      <c r="V150" s="60">
        <f t="shared" si="31"/>
        <v>46351</v>
      </c>
      <c r="W150" s="121">
        <f t="shared" si="24"/>
        <v>4</v>
      </c>
      <c r="AD150" s="60">
        <f t="shared" si="33"/>
        <v>46351</v>
      </c>
      <c r="AE150">
        <f t="shared" si="25"/>
        <v>126</v>
      </c>
      <c r="AF150">
        <f t="shared" si="26"/>
        <v>126</v>
      </c>
      <c r="AG150">
        <f t="shared" si="27"/>
        <v>116</v>
      </c>
      <c r="AH150">
        <f t="shared" si="28"/>
        <v>116</v>
      </c>
      <c r="AI150">
        <f t="shared" si="29"/>
        <v>116</v>
      </c>
      <c r="AJ150"/>
    </row>
    <row r="151" spans="15:36" x14ac:dyDescent="0.25">
      <c r="O151" s="60">
        <f t="shared" si="32"/>
        <v>46352</v>
      </c>
      <c r="P151" s="121">
        <f t="shared" si="30"/>
        <v>5</v>
      </c>
      <c r="Q151" s="189" t="s">
        <v>190</v>
      </c>
      <c r="R151" s="189" t="s">
        <v>190</v>
      </c>
      <c r="S151" s="189" t="s">
        <v>190</v>
      </c>
      <c r="T151" s="189" t="s">
        <v>190</v>
      </c>
      <c r="U151" s="189" t="s">
        <v>190</v>
      </c>
      <c r="V151" s="60">
        <f t="shared" si="31"/>
        <v>46352</v>
      </c>
      <c r="W151" s="121">
        <f t="shared" si="24"/>
        <v>5</v>
      </c>
      <c r="AD151" s="60">
        <f t="shared" si="33"/>
        <v>46352</v>
      </c>
      <c r="AE151">
        <f t="shared" si="25"/>
        <v>126</v>
      </c>
      <c r="AF151">
        <f t="shared" si="26"/>
        <v>126</v>
      </c>
      <c r="AG151">
        <f t="shared" si="27"/>
        <v>116</v>
      </c>
      <c r="AH151">
        <f t="shared" si="28"/>
        <v>116</v>
      </c>
      <c r="AI151">
        <f t="shared" si="29"/>
        <v>116</v>
      </c>
      <c r="AJ151"/>
    </row>
    <row r="152" spans="15:36" x14ac:dyDescent="0.25">
      <c r="O152" s="60">
        <f t="shared" si="32"/>
        <v>46353</v>
      </c>
      <c r="P152" s="121">
        <f t="shared" si="30"/>
        <v>6</v>
      </c>
      <c r="Q152" s="189" t="s">
        <v>190</v>
      </c>
      <c r="R152" s="189" t="s">
        <v>190</v>
      </c>
      <c r="S152" s="189" t="s">
        <v>190</v>
      </c>
      <c r="T152" s="189" t="s">
        <v>190</v>
      </c>
      <c r="U152" s="189" t="s">
        <v>190</v>
      </c>
      <c r="V152" s="60">
        <f t="shared" si="31"/>
        <v>46353</v>
      </c>
      <c r="W152" s="121">
        <f t="shared" si="24"/>
        <v>6</v>
      </c>
      <c r="AD152" s="60">
        <f t="shared" si="33"/>
        <v>46353</v>
      </c>
      <c r="AE152">
        <f t="shared" si="25"/>
        <v>126</v>
      </c>
      <c r="AF152">
        <f t="shared" si="26"/>
        <v>126</v>
      </c>
      <c r="AG152">
        <f t="shared" si="27"/>
        <v>116</v>
      </c>
      <c r="AH152">
        <f t="shared" si="28"/>
        <v>116</v>
      </c>
      <c r="AI152">
        <f t="shared" si="29"/>
        <v>116</v>
      </c>
      <c r="AJ152"/>
    </row>
    <row r="153" spans="15:36" x14ac:dyDescent="0.25">
      <c r="O153" s="60">
        <f t="shared" si="32"/>
        <v>46354</v>
      </c>
      <c r="P153" s="121">
        <f t="shared" si="30"/>
        <v>7</v>
      </c>
      <c r="Q153" s="189" t="str">
        <f t="shared" si="22"/>
        <v/>
      </c>
      <c r="R153" s="189" t="str">
        <f t="shared" si="22"/>
        <v/>
      </c>
      <c r="S153" s="189" t="str">
        <f t="shared" si="22"/>
        <v/>
      </c>
      <c r="T153" s="189" t="str">
        <f t="shared" si="22"/>
        <v/>
      </c>
      <c r="U153" s="189" t="str">
        <f t="shared" si="22"/>
        <v/>
      </c>
      <c r="V153" s="60">
        <f t="shared" si="31"/>
        <v>46354</v>
      </c>
      <c r="W153" s="121">
        <f t="shared" si="24"/>
        <v>7</v>
      </c>
      <c r="AD153" s="60">
        <f t="shared" si="33"/>
        <v>46354</v>
      </c>
      <c r="AE153">
        <f t="shared" si="25"/>
        <v>126</v>
      </c>
      <c r="AF153">
        <f t="shared" si="26"/>
        <v>126</v>
      </c>
      <c r="AG153">
        <f t="shared" si="27"/>
        <v>116</v>
      </c>
      <c r="AH153">
        <f t="shared" si="28"/>
        <v>116</v>
      </c>
      <c r="AI153">
        <f t="shared" si="29"/>
        <v>116</v>
      </c>
      <c r="AJ153"/>
    </row>
    <row r="154" spans="15:36" x14ac:dyDescent="0.25">
      <c r="O154" s="60">
        <f t="shared" si="32"/>
        <v>46355</v>
      </c>
      <c r="P154" s="121">
        <f t="shared" si="30"/>
        <v>1</v>
      </c>
      <c r="Q154" s="189" t="str">
        <f t="shared" si="22"/>
        <v/>
      </c>
      <c r="R154" s="189" t="str">
        <f t="shared" si="22"/>
        <v/>
      </c>
      <c r="S154" s="189" t="str">
        <f t="shared" si="22"/>
        <v/>
      </c>
      <c r="T154" s="189" t="str">
        <f t="shared" si="22"/>
        <v/>
      </c>
      <c r="U154" s="189" t="str">
        <f t="shared" si="22"/>
        <v/>
      </c>
      <c r="V154" s="60">
        <f t="shared" si="31"/>
        <v>46355</v>
      </c>
      <c r="W154" s="121">
        <f t="shared" si="24"/>
        <v>1</v>
      </c>
      <c r="AD154" s="60">
        <f t="shared" si="33"/>
        <v>46355</v>
      </c>
      <c r="AE154">
        <f t="shared" si="25"/>
        <v>126</v>
      </c>
      <c r="AF154">
        <f t="shared" si="26"/>
        <v>126</v>
      </c>
      <c r="AG154">
        <f t="shared" si="27"/>
        <v>116</v>
      </c>
      <c r="AH154">
        <f t="shared" si="28"/>
        <v>116</v>
      </c>
      <c r="AI154">
        <f t="shared" si="29"/>
        <v>116</v>
      </c>
      <c r="AJ154"/>
    </row>
    <row r="155" spans="15:36" x14ac:dyDescent="0.25">
      <c r="O155" s="60">
        <f t="shared" si="32"/>
        <v>46356</v>
      </c>
      <c r="P155" s="121">
        <f t="shared" si="30"/>
        <v>2</v>
      </c>
      <c r="Q155" s="189">
        <f t="shared" si="22"/>
        <v>1</v>
      </c>
      <c r="R155" s="189">
        <f t="shared" si="22"/>
        <v>1</v>
      </c>
      <c r="S155" s="189">
        <f t="shared" si="22"/>
        <v>1</v>
      </c>
      <c r="T155" s="189">
        <f t="shared" si="22"/>
        <v>1</v>
      </c>
      <c r="U155" s="189">
        <f t="shared" si="22"/>
        <v>1</v>
      </c>
      <c r="V155" s="60">
        <f t="shared" si="31"/>
        <v>46356</v>
      </c>
      <c r="W155" s="121">
        <f t="shared" si="24"/>
        <v>2</v>
      </c>
      <c r="AC155" t="s">
        <v>264</v>
      </c>
      <c r="AD155" s="60">
        <f t="shared" si="33"/>
        <v>46356</v>
      </c>
      <c r="AE155">
        <f t="shared" si="25"/>
        <v>125</v>
      </c>
      <c r="AF155">
        <f t="shared" si="26"/>
        <v>125</v>
      </c>
      <c r="AG155">
        <f t="shared" si="27"/>
        <v>115</v>
      </c>
      <c r="AH155">
        <f t="shared" si="28"/>
        <v>115</v>
      </c>
      <c r="AI155">
        <f t="shared" si="29"/>
        <v>115</v>
      </c>
      <c r="AJ155"/>
    </row>
    <row r="156" spans="15:36" x14ac:dyDescent="0.25">
      <c r="O156" s="60">
        <f t="shared" si="32"/>
        <v>46357</v>
      </c>
      <c r="P156" s="121">
        <f t="shared" si="30"/>
        <v>3</v>
      </c>
      <c r="Q156" s="189">
        <f t="shared" si="22"/>
        <v>1</v>
      </c>
      <c r="R156" s="189">
        <f t="shared" si="22"/>
        <v>1</v>
      </c>
      <c r="S156" s="189">
        <f t="shared" si="22"/>
        <v>1</v>
      </c>
      <c r="T156" s="189">
        <f t="shared" si="22"/>
        <v>1</v>
      </c>
      <c r="U156" s="189">
        <f t="shared" si="22"/>
        <v>1</v>
      </c>
      <c r="V156" s="60">
        <f t="shared" si="31"/>
        <v>46357</v>
      </c>
      <c r="W156" s="121">
        <f t="shared" si="24"/>
        <v>3</v>
      </c>
      <c r="AC156" t="s">
        <v>261</v>
      </c>
      <c r="AD156" s="60">
        <f t="shared" si="33"/>
        <v>46357</v>
      </c>
      <c r="AE156">
        <f t="shared" si="25"/>
        <v>124</v>
      </c>
      <c r="AF156">
        <f t="shared" si="26"/>
        <v>124</v>
      </c>
      <c r="AG156">
        <f t="shared" si="27"/>
        <v>114</v>
      </c>
      <c r="AH156">
        <f t="shared" si="28"/>
        <v>114</v>
      </c>
      <c r="AI156">
        <f t="shared" si="29"/>
        <v>114</v>
      </c>
      <c r="AJ156"/>
    </row>
    <row r="157" spans="15:36" x14ac:dyDescent="0.25">
      <c r="O157" s="60">
        <f t="shared" si="32"/>
        <v>46358</v>
      </c>
      <c r="P157" s="121">
        <f t="shared" si="30"/>
        <v>4</v>
      </c>
      <c r="Q157" s="189">
        <f t="shared" si="22"/>
        <v>1</v>
      </c>
      <c r="R157" s="189">
        <f t="shared" si="22"/>
        <v>1</v>
      </c>
      <c r="S157" s="189">
        <f t="shared" si="22"/>
        <v>1</v>
      </c>
      <c r="T157" s="189">
        <f t="shared" si="22"/>
        <v>1</v>
      </c>
      <c r="U157" s="189">
        <f t="shared" si="22"/>
        <v>1</v>
      </c>
      <c r="V157" s="60">
        <f t="shared" si="31"/>
        <v>46358</v>
      </c>
      <c r="W157" s="121">
        <f t="shared" si="24"/>
        <v>4</v>
      </c>
      <c r="AC157" t="s">
        <v>264</v>
      </c>
      <c r="AD157" s="60">
        <f t="shared" si="33"/>
        <v>46358</v>
      </c>
      <c r="AE157">
        <f t="shared" si="25"/>
        <v>123</v>
      </c>
      <c r="AF157">
        <f t="shared" si="26"/>
        <v>123</v>
      </c>
      <c r="AG157">
        <f t="shared" si="27"/>
        <v>113</v>
      </c>
      <c r="AH157">
        <f t="shared" si="28"/>
        <v>113</v>
      </c>
      <c r="AI157">
        <f t="shared" si="29"/>
        <v>113</v>
      </c>
      <c r="AJ157"/>
    </row>
    <row r="158" spans="15:36" x14ac:dyDescent="0.25">
      <c r="O158" s="60">
        <f t="shared" si="32"/>
        <v>46359</v>
      </c>
      <c r="P158" s="121">
        <f t="shared" si="30"/>
        <v>5</v>
      </c>
      <c r="Q158" s="189">
        <f t="shared" si="22"/>
        <v>1</v>
      </c>
      <c r="R158" s="189">
        <f t="shared" si="22"/>
        <v>1</v>
      </c>
      <c r="S158" s="189">
        <f t="shared" si="22"/>
        <v>1</v>
      </c>
      <c r="T158" s="189">
        <f t="shared" si="22"/>
        <v>1</v>
      </c>
      <c r="U158" s="189">
        <f t="shared" si="22"/>
        <v>1</v>
      </c>
      <c r="V158" s="60">
        <f t="shared" si="31"/>
        <v>46359</v>
      </c>
      <c r="W158" s="121">
        <f t="shared" si="24"/>
        <v>5</v>
      </c>
      <c r="AC158" t="s">
        <v>261</v>
      </c>
      <c r="AD158" s="60">
        <f t="shared" si="33"/>
        <v>46359</v>
      </c>
      <c r="AE158">
        <f t="shared" si="25"/>
        <v>122</v>
      </c>
      <c r="AF158">
        <f t="shared" si="26"/>
        <v>122</v>
      </c>
      <c r="AG158">
        <f t="shared" si="27"/>
        <v>112</v>
      </c>
      <c r="AH158">
        <f t="shared" si="28"/>
        <v>112</v>
      </c>
      <c r="AI158">
        <f t="shared" si="29"/>
        <v>112</v>
      </c>
      <c r="AJ158"/>
    </row>
    <row r="159" spans="15:36" x14ac:dyDescent="0.25">
      <c r="O159" s="60">
        <f t="shared" si="32"/>
        <v>46360</v>
      </c>
      <c r="P159" s="121">
        <f t="shared" si="30"/>
        <v>6</v>
      </c>
      <c r="Q159" s="189">
        <f t="shared" si="22"/>
        <v>1</v>
      </c>
      <c r="R159" s="189">
        <f t="shared" si="22"/>
        <v>1</v>
      </c>
      <c r="S159" s="189">
        <f t="shared" si="22"/>
        <v>1</v>
      </c>
      <c r="T159" s="189">
        <f t="shared" si="22"/>
        <v>1</v>
      </c>
      <c r="U159" s="189">
        <f t="shared" si="22"/>
        <v>1</v>
      </c>
      <c r="V159" s="60">
        <f t="shared" si="31"/>
        <v>46360</v>
      </c>
      <c r="W159" s="121">
        <f t="shared" si="24"/>
        <v>6</v>
      </c>
      <c r="AC159" t="s">
        <v>264</v>
      </c>
      <c r="AD159" s="60">
        <f t="shared" si="33"/>
        <v>46360</v>
      </c>
      <c r="AE159">
        <f t="shared" si="25"/>
        <v>121</v>
      </c>
      <c r="AF159">
        <f t="shared" si="26"/>
        <v>121</v>
      </c>
      <c r="AG159">
        <f t="shared" si="27"/>
        <v>111</v>
      </c>
      <c r="AH159">
        <f t="shared" si="28"/>
        <v>111</v>
      </c>
      <c r="AI159">
        <f t="shared" si="29"/>
        <v>111</v>
      </c>
      <c r="AJ159"/>
    </row>
    <row r="160" spans="15:36" x14ac:dyDescent="0.25">
      <c r="O160" s="60">
        <f t="shared" si="32"/>
        <v>46361</v>
      </c>
      <c r="P160" s="121">
        <f t="shared" si="30"/>
        <v>7</v>
      </c>
      <c r="Q160" s="189" t="str">
        <f t="shared" ref="Q160:U176" si="35">IF(OR($P160=2,$P160=3,$P160=4,$P160=5,$P160=6),1,"")</f>
        <v/>
      </c>
      <c r="R160" s="189" t="str">
        <f t="shared" si="35"/>
        <v/>
      </c>
      <c r="S160" s="189" t="str">
        <f t="shared" si="35"/>
        <v/>
      </c>
      <c r="T160" s="189" t="str">
        <f t="shared" si="35"/>
        <v/>
      </c>
      <c r="U160" s="189" t="str">
        <f t="shared" si="35"/>
        <v/>
      </c>
      <c r="V160" s="60">
        <f t="shared" si="31"/>
        <v>46361</v>
      </c>
      <c r="W160" s="121">
        <f t="shared" si="24"/>
        <v>7</v>
      </c>
      <c r="AD160" s="60">
        <f t="shared" si="33"/>
        <v>46361</v>
      </c>
      <c r="AE160">
        <f t="shared" si="25"/>
        <v>121</v>
      </c>
      <c r="AF160">
        <f t="shared" si="26"/>
        <v>121</v>
      </c>
      <c r="AG160">
        <f t="shared" si="27"/>
        <v>111</v>
      </c>
      <c r="AH160">
        <f t="shared" si="28"/>
        <v>111</v>
      </c>
      <c r="AI160">
        <f t="shared" si="29"/>
        <v>111</v>
      </c>
      <c r="AJ160"/>
    </row>
    <row r="161" spans="15:36" x14ac:dyDescent="0.25">
      <c r="O161" s="60">
        <f t="shared" si="32"/>
        <v>46362</v>
      </c>
      <c r="P161" s="121">
        <f t="shared" si="30"/>
        <v>1</v>
      </c>
      <c r="Q161" s="189" t="str">
        <f t="shared" si="35"/>
        <v/>
      </c>
      <c r="R161" s="189" t="str">
        <f t="shared" si="35"/>
        <v/>
      </c>
      <c r="S161" s="189" t="str">
        <f t="shared" si="35"/>
        <v/>
      </c>
      <c r="T161" s="189" t="str">
        <f t="shared" si="35"/>
        <v/>
      </c>
      <c r="U161" s="189" t="str">
        <f t="shared" si="35"/>
        <v/>
      </c>
      <c r="V161" s="60">
        <f t="shared" si="31"/>
        <v>46362</v>
      </c>
      <c r="W161" s="121">
        <f t="shared" si="24"/>
        <v>1</v>
      </c>
      <c r="AD161" s="60">
        <f t="shared" si="33"/>
        <v>46362</v>
      </c>
      <c r="AE161">
        <f t="shared" si="25"/>
        <v>121</v>
      </c>
      <c r="AF161">
        <f t="shared" si="26"/>
        <v>121</v>
      </c>
      <c r="AG161">
        <f t="shared" si="27"/>
        <v>111</v>
      </c>
      <c r="AH161">
        <f t="shared" si="28"/>
        <v>111</v>
      </c>
      <c r="AI161">
        <f t="shared" si="29"/>
        <v>111</v>
      </c>
      <c r="AJ161"/>
    </row>
    <row r="162" spans="15:36" x14ac:dyDescent="0.25">
      <c r="O162" s="60">
        <f t="shared" si="32"/>
        <v>46363</v>
      </c>
      <c r="P162" s="121">
        <f t="shared" si="30"/>
        <v>2</v>
      </c>
      <c r="Q162" s="189">
        <f t="shared" si="35"/>
        <v>1</v>
      </c>
      <c r="R162" s="189">
        <f t="shared" si="35"/>
        <v>1</v>
      </c>
      <c r="S162" s="189">
        <f t="shared" si="35"/>
        <v>1</v>
      </c>
      <c r="T162" s="189">
        <f t="shared" si="35"/>
        <v>1</v>
      </c>
      <c r="U162" s="189">
        <f t="shared" si="35"/>
        <v>1</v>
      </c>
      <c r="V162" s="60">
        <f t="shared" si="31"/>
        <v>46363</v>
      </c>
      <c r="W162" s="121">
        <f t="shared" si="24"/>
        <v>2</v>
      </c>
      <c r="AC162" t="s">
        <v>261</v>
      </c>
      <c r="AD162" s="60">
        <f t="shared" si="33"/>
        <v>46363</v>
      </c>
      <c r="AE162">
        <f t="shared" si="25"/>
        <v>120</v>
      </c>
      <c r="AF162">
        <f t="shared" si="26"/>
        <v>120</v>
      </c>
      <c r="AG162">
        <f t="shared" si="27"/>
        <v>110</v>
      </c>
      <c r="AH162">
        <f t="shared" si="28"/>
        <v>110</v>
      </c>
      <c r="AI162">
        <f t="shared" si="29"/>
        <v>110</v>
      </c>
      <c r="AJ162"/>
    </row>
    <row r="163" spans="15:36" x14ac:dyDescent="0.25">
      <c r="O163" s="60">
        <f t="shared" si="32"/>
        <v>46364</v>
      </c>
      <c r="P163" s="121">
        <f t="shared" si="30"/>
        <v>3</v>
      </c>
      <c r="Q163" s="189">
        <f t="shared" si="35"/>
        <v>1</v>
      </c>
      <c r="R163" s="189">
        <f t="shared" si="35"/>
        <v>1</v>
      </c>
      <c r="S163" s="189">
        <f t="shared" si="35"/>
        <v>1</v>
      </c>
      <c r="T163" s="189">
        <f t="shared" si="35"/>
        <v>1</v>
      </c>
      <c r="U163" s="189">
        <f t="shared" si="35"/>
        <v>1</v>
      </c>
      <c r="V163" s="60">
        <f t="shared" si="31"/>
        <v>46364</v>
      </c>
      <c r="W163" s="121">
        <f t="shared" si="24"/>
        <v>3</v>
      </c>
      <c r="AC163" t="s">
        <v>264</v>
      </c>
      <c r="AD163" s="60">
        <f t="shared" si="33"/>
        <v>46364</v>
      </c>
      <c r="AE163">
        <f t="shared" si="25"/>
        <v>119</v>
      </c>
      <c r="AF163">
        <f t="shared" si="26"/>
        <v>119</v>
      </c>
      <c r="AG163">
        <f t="shared" si="27"/>
        <v>109</v>
      </c>
      <c r="AH163">
        <f t="shared" si="28"/>
        <v>109</v>
      </c>
      <c r="AI163">
        <f t="shared" si="29"/>
        <v>109</v>
      </c>
      <c r="AJ163"/>
    </row>
    <row r="164" spans="15:36" x14ac:dyDescent="0.25">
      <c r="O164" s="60">
        <f t="shared" si="32"/>
        <v>46365</v>
      </c>
      <c r="P164" s="121">
        <f t="shared" si="30"/>
        <v>4</v>
      </c>
      <c r="Q164" s="189">
        <f t="shared" si="35"/>
        <v>1</v>
      </c>
      <c r="R164" s="189">
        <f t="shared" si="35"/>
        <v>1</v>
      </c>
      <c r="S164" s="189">
        <f t="shared" si="35"/>
        <v>1</v>
      </c>
      <c r="T164" s="189">
        <f t="shared" si="35"/>
        <v>1</v>
      </c>
      <c r="U164" s="189">
        <f t="shared" si="35"/>
        <v>1</v>
      </c>
      <c r="V164" s="60">
        <f t="shared" si="31"/>
        <v>46365</v>
      </c>
      <c r="W164" s="121">
        <f t="shared" si="24"/>
        <v>4</v>
      </c>
      <c r="AC164" t="s">
        <v>261</v>
      </c>
      <c r="AD164" s="60">
        <f t="shared" si="33"/>
        <v>46365</v>
      </c>
      <c r="AE164">
        <f t="shared" si="25"/>
        <v>118</v>
      </c>
      <c r="AF164">
        <f t="shared" si="26"/>
        <v>118</v>
      </c>
      <c r="AG164">
        <f t="shared" si="27"/>
        <v>108</v>
      </c>
      <c r="AH164">
        <f t="shared" si="28"/>
        <v>108</v>
      </c>
      <c r="AI164">
        <f t="shared" si="29"/>
        <v>108</v>
      </c>
      <c r="AJ164"/>
    </row>
    <row r="165" spans="15:36" x14ac:dyDescent="0.25">
      <c r="O165" s="60">
        <f t="shared" si="32"/>
        <v>46366</v>
      </c>
      <c r="P165" s="121">
        <f t="shared" si="30"/>
        <v>5</v>
      </c>
      <c r="Q165" s="189">
        <f t="shared" si="35"/>
        <v>1</v>
      </c>
      <c r="R165" s="189">
        <f t="shared" si="35"/>
        <v>1</v>
      </c>
      <c r="S165" s="189">
        <f t="shared" si="35"/>
        <v>1</v>
      </c>
      <c r="T165" s="189">
        <f t="shared" si="35"/>
        <v>1</v>
      </c>
      <c r="U165" s="189">
        <f t="shared" si="35"/>
        <v>1</v>
      </c>
      <c r="V165" s="60">
        <f t="shared" si="31"/>
        <v>46366</v>
      </c>
      <c r="W165" s="121">
        <f t="shared" si="24"/>
        <v>5</v>
      </c>
      <c r="AC165" t="s">
        <v>264</v>
      </c>
      <c r="AD165" s="60">
        <f t="shared" si="33"/>
        <v>46366</v>
      </c>
      <c r="AE165">
        <f t="shared" si="25"/>
        <v>117</v>
      </c>
      <c r="AF165">
        <f t="shared" si="26"/>
        <v>117</v>
      </c>
      <c r="AG165">
        <f t="shared" si="27"/>
        <v>107</v>
      </c>
      <c r="AH165">
        <f t="shared" si="28"/>
        <v>107</v>
      </c>
      <c r="AI165">
        <f t="shared" si="29"/>
        <v>107</v>
      </c>
      <c r="AJ165"/>
    </row>
    <row r="166" spans="15:36" x14ac:dyDescent="0.25">
      <c r="O166" s="60">
        <f t="shared" si="32"/>
        <v>46367</v>
      </c>
      <c r="P166" s="121">
        <f t="shared" si="30"/>
        <v>6</v>
      </c>
      <c r="Q166" s="189">
        <f t="shared" si="35"/>
        <v>1</v>
      </c>
      <c r="R166" s="189">
        <f t="shared" si="35"/>
        <v>1</v>
      </c>
      <c r="S166" s="189">
        <f t="shared" si="35"/>
        <v>1</v>
      </c>
      <c r="T166" s="189">
        <f t="shared" si="35"/>
        <v>1</v>
      </c>
      <c r="U166" s="189">
        <f t="shared" si="35"/>
        <v>1</v>
      </c>
      <c r="V166" s="60">
        <f t="shared" si="31"/>
        <v>46367</v>
      </c>
      <c r="W166" s="121">
        <f t="shared" si="24"/>
        <v>6</v>
      </c>
      <c r="AC166" t="s">
        <v>261</v>
      </c>
      <c r="AD166" s="60">
        <f t="shared" si="33"/>
        <v>46367</v>
      </c>
      <c r="AE166">
        <f t="shared" si="25"/>
        <v>116</v>
      </c>
      <c r="AF166">
        <f t="shared" si="26"/>
        <v>116</v>
      </c>
      <c r="AG166">
        <f t="shared" si="27"/>
        <v>106</v>
      </c>
      <c r="AH166">
        <f t="shared" si="28"/>
        <v>106</v>
      </c>
      <c r="AI166">
        <f t="shared" si="29"/>
        <v>106</v>
      </c>
      <c r="AJ166"/>
    </row>
    <row r="167" spans="15:36" x14ac:dyDescent="0.25">
      <c r="O167" s="60">
        <f t="shared" si="32"/>
        <v>46368</v>
      </c>
      <c r="P167" s="121">
        <f t="shared" si="30"/>
        <v>7</v>
      </c>
      <c r="Q167" s="189" t="str">
        <f t="shared" si="35"/>
        <v/>
      </c>
      <c r="R167" s="189" t="str">
        <f t="shared" si="35"/>
        <v/>
      </c>
      <c r="S167" s="189" t="str">
        <f t="shared" si="35"/>
        <v/>
      </c>
      <c r="T167" s="189" t="str">
        <f t="shared" si="35"/>
        <v/>
      </c>
      <c r="U167" s="189" t="str">
        <f t="shared" si="35"/>
        <v/>
      </c>
      <c r="V167" s="60">
        <f t="shared" si="31"/>
        <v>46368</v>
      </c>
      <c r="W167" s="121">
        <f t="shared" si="24"/>
        <v>7</v>
      </c>
      <c r="AD167" s="60">
        <f t="shared" si="33"/>
        <v>46368</v>
      </c>
      <c r="AE167">
        <f t="shared" si="25"/>
        <v>116</v>
      </c>
      <c r="AF167">
        <f t="shared" si="26"/>
        <v>116</v>
      </c>
      <c r="AG167">
        <f t="shared" si="27"/>
        <v>106</v>
      </c>
      <c r="AH167">
        <f t="shared" si="28"/>
        <v>106</v>
      </c>
      <c r="AI167">
        <f t="shared" si="29"/>
        <v>106</v>
      </c>
      <c r="AJ167"/>
    </row>
    <row r="168" spans="15:36" x14ac:dyDescent="0.25">
      <c r="O168" s="60">
        <f t="shared" si="32"/>
        <v>46369</v>
      </c>
      <c r="P168" s="121">
        <f t="shared" si="30"/>
        <v>1</v>
      </c>
      <c r="Q168" s="189" t="str">
        <f t="shared" si="35"/>
        <v/>
      </c>
      <c r="R168" s="189" t="str">
        <f t="shared" si="35"/>
        <v/>
      </c>
      <c r="S168" s="189" t="str">
        <f t="shared" si="35"/>
        <v/>
      </c>
      <c r="T168" s="189" t="str">
        <f t="shared" si="35"/>
        <v/>
      </c>
      <c r="U168" s="189" t="str">
        <f t="shared" si="35"/>
        <v/>
      </c>
      <c r="V168" s="60">
        <f t="shared" si="31"/>
        <v>46369</v>
      </c>
      <c r="W168" s="121">
        <f t="shared" si="24"/>
        <v>1</v>
      </c>
      <c r="AD168" s="60">
        <f t="shared" si="33"/>
        <v>46369</v>
      </c>
      <c r="AE168">
        <f t="shared" si="25"/>
        <v>116</v>
      </c>
      <c r="AF168">
        <f t="shared" si="26"/>
        <v>116</v>
      </c>
      <c r="AG168">
        <f t="shared" si="27"/>
        <v>106</v>
      </c>
      <c r="AH168">
        <f t="shared" si="28"/>
        <v>106</v>
      </c>
      <c r="AI168">
        <f t="shared" si="29"/>
        <v>106</v>
      </c>
      <c r="AJ168"/>
    </row>
    <row r="169" spans="15:36" x14ac:dyDescent="0.25">
      <c r="O169" s="60">
        <f t="shared" si="32"/>
        <v>46370</v>
      </c>
      <c r="P169" s="121">
        <f t="shared" si="30"/>
        <v>2</v>
      </c>
      <c r="Q169" s="189">
        <f t="shared" si="35"/>
        <v>1</v>
      </c>
      <c r="R169" s="189">
        <f t="shared" si="35"/>
        <v>1</v>
      </c>
      <c r="S169" s="189">
        <f t="shared" si="35"/>
        <v>1</v>
      </c>
      <c r="T169" s="189">
        <f t="shared" si="35"/>
        <v>1</v>
      </c>
      <c r="U169" s="189">
        <f t="shared" si="35"/>
        <v>1</v>
      </c>
      <c r="V169" s="60">
        <f t="shared" si="31"/>
        <v>46370</v>
      </c>
      <c r="W169" s="121">
        <f t="shared" si="24"/>
        <v>2</v>
      </c>
      <c r="AC169" t="s">
        <v>264</v>
      </c>
      <c r="AD169" s="60">
        <f t="shared" si="33"/>
        <v>46370</v>
      </c>
      <c r="AE169">
        <f t="shared" si="25"/>
        <v>115</v>
      </c>
      <c r="AF169">
        <f t="shared" si="26"/>
        <v>115</v>
      </c>
      <c r="AG169">
        <f t="shared" si="27"/>
        <v>105</v>
      </c>
      <c r="AH169">
        <f t="shared" si="28"/>
        <v>105</v>
      </c>
      <c r="AI169">
        <f t="shared" si="29"/>
        <v>105</v>
      </c>
      <c r="AJ169"/>
    </row>
    <row r="170" spans="15:36" x14ac:dyDescent="0.25">
      <c r="O170" s="60">
        <f t="shared" si="32"/>
        <v>46371</v>
      </c>
      <c r="P170" s="121">
        <f t="shared" si="30"/>
        <v>3</v>
      </c>
      <c r="Q170" s="189">
        <f t="shared" si="35"/>
        <v>1</v>
      </c>
      <c r="R170" s="189">
        <f t="shared" si="35"/>
        <v>1</v>
      </c>
      <c r="S170" s="189">
        <f t="shared" si="35"/>
        <v>1</v>
      </c>
      <c r="T170" s="189">
        <f t="shared" si="35"/>
        <v>1</v>
      </c>
      <c r="U170" s="189">
        <f t="shared" si="35"/>
        <v>1</v>
      </c>
      <c r="V170" s="60">
        <f t="shared" si="31"/>
        <v>46371</v>
      </c>
      <c r="W170" s="121">
        <f t="shared" si="24"/>
        <v>3</v>
      </c>
      <c r="AC170" t="s">
        <v>261</v>
      </c>
      <c r="AD170" s="60">
        <f t="shared" si="33"/>
        <v>46371</v>
      </c>
      <c r="AE170">
        <f t="shared" si="25"/>
        <v>114</v>
      </c>
      <c r="AF170">
        <f t="shared" si="26"/>
        <v>114</v>
      </c>
      <c r="AG170">
        <f t="shared" si="27"/>
        <v>104</v>
      </c>
      <c r="AH170">
        <f t="shared" si="28"/>
        <v>104</v>
      </c>
      <c r="AI170">
        <f t="shared" si="29"/>
        <v>104</v>
      </c>
      <c r="AJ170"/>
    </row>
    <row r="171" spans="15:36" x14ac:dyDescent="0.25">
      <c r="O171" s="60">
        <f t="shared" si="32"/>
        <v>46372</v>
      </c>
      <c r="P171" s="121">
        <f t="shared" si="30"/>
        <v>4</v>
      </c>
      <c r="Q171" s="189">
        <f t="shared" si="35"/>
        <v>1</v>
      </c>
      <c r="R171" s="189">
        <f t="shared" si="35"/>
        <v>1</v>
      </c>
      <c r="S171" s="189">
        <f t="shared" si="35"/>
        <v>1</v>
      </c>
      <c r="T171" s="189">
        <f t="shared" si="35"/>
        <v>1</v>
      </c>
      <c r="U171" s="189">
        <f t="shared" si="35"/>
        <v>1</v>
      </c>
      <c r="V171" s="60">
        <f t="shared" si="31"/>
        <v>46372</v>
      </c>
      <c r="W171" s="121">
        <f t="shared" si="24"/>
        <v>4</v>
      </c>
      <c r="AC171" t="s">
        <v>264</v>
      </c>
      <c r="AD171" s="60">
        <f t="shared" si="33"/>
        <v>46372</v>
      </c>
      <c r="AE171">
        <f t="shared" si="25"/>
        <v>113</v>
      </c>
      <c r="AF171">
        <f t="shared" si="26"/>
        <v>113</v>
      </c>
      <c r="AG171">
        <f t="shared" si="27"/>
        <v>103</v>
      </c>
      <c r="AH171">
        <f t="shared" si="28"/>
        <v>103</v>
      </c>
      <c r="AI171">
        <f t="shared" si="29"/>
        <v>103</v>
      </c>
      <c r="AJ171"/>
    </row>
    <row r="172" spans="15:36" x14ac:dyDescent="0.25">
      <c r="O172" s="60">
        <f t="shared" si="32"/>
        <v>46373</v>
      </c>
      <c r="P172" s="121">
        <f t="shared" si="30"/>
        <v>5</v>
      </c>
      <c r="Q172" s="189">
        <f t="shared" si="35"/>
        <v>1</v>
      </c>
      <c r="R172" s="189">
        <f t="shared" si="35"/>
        <v>1</v>
      </c>
      <c r="S172" s="189">
        <f t="shared" si="35"/>
        <v>1</v>
      </c>
      <c r="T172" s="189">
        <f t="shared" si="35"/>
        <v>1</v>
      </c>
      <c r="U172" s="189">
        <f t="shared" si="35"/>
        <v>1</v>
      </c>
      <c r="V172" s="60">
        <f t="shared" si="31"/>
        <v>46373</v>
      </c>
      <c r="W172" s="121">
        <f t="shared" si="24"/>
        <v>5</v>
      </c>
      <c r="AC172" t="s">
        <v>261</v>
      </c>
      <c r="AD172" s="60">
        <f t="shared" si="33"/>
        <v>46373</v>
      </c>
      <c r="AE172">
        <f t="shared" si="25"/>
        <v>112</v>
      </c>
      <c r="AF172">
        <f t="shared" si="26"/>
        <v>112</v>
      </c>
      <c r="AG172">
        <f t="shared" si="27"/>
        <v>102</v>
      </c>
      <c r="AH172">
        <f t="shared" si="28"/>
        <v>102</v>
      </c>
      <c r="AI172">
        <f t="shared" si="29"/>
        <v>102</v>
      </c>
      <c r="AJ172"/>
    </row>
    <row r="173" spans="15:36" x14ac:dyDescent="0.25">
      <c r="O173" s="60">
        <f t="shared" si="32"/>
        <v>46374</v>
      </c>
      <c r="P173" s="121">
        <f t="shared" si="30"/>
        <v>6</v>
      </c>
      <c r="Q173" s="189">
        <f t="shared" si="35"/>
        <v>1</v>
      </c>
      <c r="R173" s="189">
        <f t="shared" si="35"/>
        <v>1</v>
      </c>
      <c r="S173" s="189">
        <f t="shared" si="35"/>
        <v>1</v>
      </c>
      <c r="T173" s="189">
        <f t="shared" si="35"/>
        <v>1</v>
      </c>
      <c r="U173" s="189">
        <f t="shared" si="35"/>
        <v>1</v>
      </c>
      <c r="V173" s="60">
        <f t="shared" si="31"/>
        <v>46374</v>
      </c>
      <c r="W173" s="121">
        <f t="shared" si="24"/>
        <v>6</v>
      </c>
      <c r="AC173" t="s">
        <v>264</v>
      </c>
      <c r="AD173" s="60">
        <f t="shared" si="33"/>
        <v>46374</v>
      </c>
      <c r="AE173">
        <f t="shared" si="25"/>
        <v>111</v>
      </c>
      <c r="AF173">
        <f t="shared" si="26"/>
        <v>111</v>
      </c>
      <c r="AG173">
        <f t="shared" si="27"/>
        <v>101</v>
      </c>
      <c r="AH173">
        <f t="shared" si="28"/>
        <v>101</v>
      </c>
      <c r="AI173">
        <f t="shared" si="29"/>
        <v>101</v>
      </c>
      <c r="AJ173"/>
    </row>
    <row r="174" spans="15:36" x14ac:dyDescent="0.25">
      <c r="O174" s="60">
        <f t="shared" si="32"/>
        <v>46375</v>
      </c>
      <c r="P174" s="121">
        <f t="shared" si="30"/>
        <v>7</v>
      </c>
      <c r="Q174" s="189" t="str">
        <f t="shared" si="35"/>
        <v/>
      </c>
      <c r="R174" s="189" t="str">
        <f t="shared" si="35"/>
        <v/>
      </c>
      <c r="S174" s="189" t="str">
        <f t="shared" si="35"/>
        <v/>
      </c>
      <c r="T174" s="189" t="str">
        <f t="shared" si="35"/>
        <v/>
      </c>
      <c r="U174" s="189" t="str">
        <f t="shared" si="35"/>
        <v/>
      </c>
      <c r="V174" s="60">
        <f t="shared" si="31"/>
        <v>46375</v>
      </c>
      <c r="W174" s="121">
        <f t="shared" si="24"/>
        <v>7</v>
      </c>
      <c r="AD174" s="60">
        <f t="shared" si="33"/>
        <v>46375</v>
      </c>
      <c r="AE174">
        <f t="shared" si="25"/>
        <v>111</v>
      </c>
      <c r="AF174">
        <f t="shared" si="26"/>
        <v>111</v>
      </c>
      <c r="AG174">
        <f t="shared" si="27"/>
        <v>101</v>
      </c>
      <c r="AH174">
        <f t="shared" si="28"/>
        <v>101</v>
      </c>
      <c r="AI174">
        <f t="shared" si="29"/>
        <v>101</v>
      </c>
      <c r="AJ174"/>
    </row>
    <row r="175" spans="15:36" x14ac:dyDescent="0.25">
      <c r="O175" s="60">
        <f t="shared" si="32"/>
        <v>46376</v>
      </c>
      <c r="P175" s="121">
        <f t="shared" si="30"/>
        <v>1</v>
      </c>
      <c r="Q175" s="189" t="str">
        <f t="shared" si="35"/>
        <v/>
      </c>
      <c r="R175" s="189" t="str">
        <f t="shared" si="35"/>
        <v/>
      </c>
      <c r="S175" s="189" t="str">
        <f t="shared" si="35"/>
        <v/>
      </c>
      <c r="T175" s="189" t="str">
        <f t="shared" si="35"/>
        <v/>
      </c>
      <c r="U175" s="189" t="str">
        <f t="shared" si="35"/>
        <v/>
      </c>
      <c r="V175" s="60">
        <f t="shared" si="31"/>
        <v>46376</v>
      </c>
      <c r="W175" s="121">
        <f t="shared" si="24"/>
        <v>1</v>
      </c>
      <c r="AD175" s="60">
        <f t="shared" si="33"/>
        <v>46376</v>
      </c>
      <c r="AE175">
        <f t="shared" si="25"/>
        <v>111</v>
      </c>
      <c r="AF175">
        <f t="shared" si="26"/>
        <v>111</v>
      </c>
      <c r="AG175">
        <f t="shared" si="27"/>
        <v>101</v>
      </c>
      <c r="AH175">
        <f t="shared" si="28"/>
        <v>101</v>
      </c>
      <c r="AI175">
        <f t="shared" si="29"/>
        <v>101</v>
      </c>
      <c r="AJ175"/>
    </row>
    <row r="176" spans="15:36" x14ac:dyDescent="0.25">
      <c r="O176" s="60">
        <f t="shared" si="32"/>
        <v>46377</v>
      </c>
      <c r="P176" s="121">
        <f t="shared" si="30"/>
        <v>2</v>
      </c>
      <c r="Q176" s="189" t="s">
        <v>190</v>
      </c>
      <c r="R176" s="189" t="s">
        <v>190</v>
      </c>
      <c r="S176" s="189" t="s">
        <v>190</v>
      </c>
      <c r="T176" s="189" t="s">
        <v>190</v>
      </c>
      <c r="U176" s="189" t="s">
        <v>190</v>
      </c>
      <c r="V176" s="60">
        <f t="shared" si="31"/>
        <v>46377</v>
      </c>
      <c r="W176" s="121">
        <f t="shared" si="24"/>
        <v>2</v>
      </c>
      <c r="AD176" s="60">
        <f t="shared" si="33"/>
        <v>46377</v>
      </c>
      <c r="AE176">
        <f t="shared" si="25"/>
        <v>111</v>
      </c>
      <c r="AF176">
        <f t="shared" si="26"/>
        <v>111</v>
      </c>
      <c r="AG176">
        <f t="shared" si="27"/>
        <v>101</v>
      </c>
      <c r="AH176">
        <f t="shared" si="28"/>
        <v>101</v>
      </c>
      <c r="AI176">
        <f t="shared" si="29"/>
        <v>101</v>
      </c>
      <c r="AJ176"/>
    </row>
    <row r="177" spans="15:36" x14ac:dyDescent="0.25">
      <c r="O177" s="60">
        <f t="shared" si="32"/>
        <v>46378</v>
      </c>
      <c r="P177" s="121">
        <f t="shared" si="30"/>
        <v>3</v>
      </c>
      <c r="Q177" s="189" t="s">
        <v>190</v>
      </c>
      <c r="R177" s="189" t="s">
        <v>190</v>
      </c>
      <c r="S177" s="189" t="s">
        <v>190</v>
      </c>
      <c r="T177" s="189" t="s">
        <v>190</v>
      </c>
      <c r="U177" s="189" t="s">
        <v>190</v>
      </c>
      <c r="V177" s="60">
        <f t="shared" si="31"/>
        <v>46378</v>
      </c>
      <c r="W177" s="121">
        <f t="shared" si="24"/>
        <v>3</v>
      </c>
      <c r="AD177" s="60">
        <f t="shared" si="33"/>
        <v>46378</v>
      </c>
      <c r="AE177">
        <f t="shared" si="25"/>
        <v>111</v>
      </c>
      <c r="AF177">
        <f t="shared" si="26"/>
        <v>111</v>
      </c>
      <c r="AG177">
        <f t="shared" si="27"/>
        <v>101</v>
      </c>
      <c r="AH177">
        <f t="shared" si="28"/>
        <v>101</v>
      </c>
      <c r="AI177">
        <f t="shared" si="29"/>
        <v>101</v>
      </c>
      <c r="AJ177"/>
    </row>
    <row r="178" spans="15:36" x14ac:dyDescent="0.25">
      <c r="O178" s="60">
        <f t="shared" si="32"/>
        <v>46379</v>
      </c>
      <c r="P178" s="121">
        <f t="shared" si="30"/>
        <v>4</v>
      </c>
      <c r="Q178" s="189" t="s">
        <v>190</v>
      </c>
      <c r="R178" s="189" t="s">
        <v>190</v>
      </c>
      <c r="S178" s="189" t="s">
        <v>190</v>
      </c>
      <c r="T178" s="189" t="s">
        <v>190</v>
      </c>
      <c r="U178" s="189" t="s">
        <v>190</v>
      </c>
      <c r="V178" s="60">
        <f t="shared" si="31"/>
        <v>46379</v>
      </c>
      <c r="W178" s="121">
        <f t="shared" si="24"/>
        <v>4</v>
      </c>
      <c r="AD178" s="60">
        <f t="shared" si="33"/>
        <v>46379</v>
      </c>
      <c r="AE178">
        <f t="shared" si="25"/>
        <v>111</v>
      </c>
      <c r="AF178">
        <f t="shared" si="26"/>
        <v>111</v>
      </c>
      <c r="AG178">
        <f t="shared" si="27"/>
        <v>101</v>
      </c>
      <c r="AH178">
        <f t="shared" si="28"/>
        <v>101</v>
      </c>
      <c r="AI178">
        <f t="shared" si="29"/>
        <v>101</v>
      </c>
      <c r="AJ178"/>
    </row>
    <row r="179" spans="15:36" x14ac:dyDescent="0.25">
      <c r="O179" s="60">
        <f t="shared" si="32"/>
        <v>46380</v>
      </c>
      <c r="P179" s="121">
        <f t="shared" si="30"/>
        <v>5</v>
      </c>
      <c r="Q179" s="189" t="s">
        <v>190</v>
      </c>
      <c r="R179" s="189" t="s">
        <v>190</v>
      </c>
      <c r="S179" s="189" t="s">
        <v>190</v>
      </c>
      <c r="T179" s="189" t="s">
        <v>190</v>
      </c>
      <c r="U179" s="189" t="s">
        <v>190</v>
      </c>
      <c r="V179" s="60">
        <f t="shared" si="31"/>
        <v>46380</v>
      </c>
      <c r="W179" s="121">
        <f t="shared" si="24"/>
        <v>5</v>
      </c>
      <c r="AD179" s="60">
        <f t="shared" si="33"/>
        <v>46380</v>
      </c>
      <c r="AE179">
        <f t="shared" si="25"/>
        <v>111</v>
      </c>
      <c r="AF179">
        <f t="shared" si="26"/>
        <v>111</v>
      </c>
      <c r="AG179">
        <f t="shared" si="27"/>
        <v>101</v>
      </c>
      <c r="AH179">
        <f t="shared" si="28"/>
        <v>101</v>
      </c>
      <c r="AI179">
        <f t="shared" si="29"/>
        <v>101</v>
      </c>
      <c r="AJ179"/>
    </row>
    <row r="180" spans="15:36" x14ac:dyDescent="0.25">
      <c r="O180" s="60">
        <f t="shared" si="32"/>
        <v>46381</v>
      </c>
      <c r="P180" s="121">
        <f t="shared" si="30"/>
        <v>6</v>
      </c>
      <c r="Q180" s="189" t="s">
        <v>190</v>
      </c>
      <c r="R180" s="189" t="s">
        <v>190</v>
      </c>
      <c r="S180" s="189" t="s">
        <v>190</v>
      </c>
      <c r="T180" s="189" t="s">
        <v>190</v>
      </c>
      <c r="U180" s="189" t="s">
        <v>190</v>
      </c>
      <c r="V180" s="60">
        <f t="shared" si="31"/>
        <v>46381</v>
      </c>
      <c r="W180" s="121">
        <f t="shared" si="24"/>
        <v>6</v>
      </c>
      <c r="AD180" s="60">
        <f t="shared" si="33"/>
        <v>46381</v>
      </c>
      <c r="AE180">
        <f t="shared" si="25"/>
        <v>111</v>
      </c>
      <c r="AF180">
        <f t="shared" si="26"/>
        <v>111</v>
      </c>
      <c r="AG180">
        <f t="shared" si="27"/>
        <v>101</v>
      </c>
      <c r="AH180">
        <f t="shared" si="28"/>
        <v>101</v>
      </c>
      <c r="AI180">
        <f t="shared" si="29"/>
        <v>101</v>
      </c>
      <c r="AJ180"/>
    </row>
    <row r="181" spans="15:36" x14ac:dyDescent="0.25">
      <c r="O181" s="60">
        <f t="shared" si="32"/>
        <v>46382</v>
      </c>
      <c r="P181" s="121">
        <f t="shared" si="30"/>
        <v>7</v>
      </c>
      <c r="R181" s="189"/>
      <c r="S181" s="189"/>
      <c r="T181" s="189"/>
      <c r="U181" s="189"/>
      <c r="V181" s="60">
        <f t="shared" si="31"/>
        <v>46382</v>
      </c>
      <c r="W181" s="121">
        <f t="shared" si="24"/>
        <v>7</v>
      </c>
      <c r="AD181" s="60">
        <f t="shared" si="33"/>
        <v>46382</v>
      </c>
      <c r="AE181">
        <f t="shared" si="25"/>
        <v>111</v>
      </c>
      <c r="AF181">
        <f t="shared" si="26"/>
        <v>111</v>
      </c>
      <c r="AG181">
        <f t="shared" si="27"/>
        <v>101</v>
      </c>
      <c r="AH181">
        <f t="shared" si="28"/>
        <v>101</v>
      </c>
      <c r="AI181">
        <f t="shared" si="29"/>
        <v>101</v>
      </c>
      <c r="AJ181"/>
    </row>
    <row r="182" spans="15:36" x14ac:dyDescent="0.25">
      <c r="O182" s="60">
        <f t="shared" si="32"/>
        <v>46383</v>
      </c>
      <c r="P182" s="121">
        <f t="shared" si="30"/>
        <v>1</v>
      </c>
      <c r="R182" s="189"/>
      <c r="S182" s="189"/>
      <c r="T182" s="189"/>
      <c r="U182" s="189"/>
      <c r="V182" s="60">
        <f t="shared" si="31"/>
        <v>46383</v>
      </c>
      <c r="W182" s="121">
        <f t="shared" si="24"/>
        <v>1</v>
      </c>
      <c r="AD182" s="60">
        <f t="shared" si="33"/>
        <v>46383</v>
      </c>
      <c r="AE182">
        <f t="shared" si="25"/>
        <v>111</v>
      </c>
      <c r="AF182">
        <f t="shared" si="26"/>
        <v>111</v>
      </c>
      <c r="AG182">
        <f t="shared" si="27"/>
        <v>101</v>
      </c>
      <c r="AH182">
        <f t="shared" si="28"/>
        <v>101</v>
      </c>
      <c r="AI182">
        <f t="shared" si="29"/>
        <v>101</v>
      </c>
      <c r="AJ182"/>
    </row>
    <row r="183" spans="15:36" x14ac:dyDescent="0.25">
      <c r="O183" s="60">
        <f t="shared" si="32"/>
        <v>46384</v>
      </c>
      <c r="P183" s="121">
        <f t="shared" si="30"/>
        <v>2</v>
      </c>
      <c r="Q183" s="189" t="s">
        <v>190</v>
      </c>
      <c r="R183" s="189" t="s">
        <v>190</v>
      </c>
      <c r="S183" s="189" t="s">
        <v>190</v>
      </c>
      <c r="T183" s="189" t="s">
        <v>190</v>
      </c>
      <c r="U183" s="189" t="s">
        <v>190</v>
      </c>
      <c r="V183" s="60">
        <f t="shared" si="31"/>
        <v>46384</v>
      </c>
      <c r="W183" s="121">
        <f t="shared" si="24"/>
        <v>2</v>
      </c>
      <c r="AD183" s="60">
        <f t="shared" si="33"/>
        <v>46384</v>
      </c>
      <c r="AE183">
        <f t="shared" si="25"/>
        <v>111</v>
      </c>
      <c r="AF183">
        <f t="shared" si="26"/>
        <v>111</v>
      </c>
      <c r="AG183">
        <f t="shared" si="27"/>
        <v>101</v>
      </c>
      <c r="AH183">
        <f t="shared" si="28"/>
        <v>101</v>
      </c>
      <c r="AI183">
        <f t="shared" si="29"/>
        <v>101</v>
      </c>
      <c r="AJ183"/>
    </row>
    <row r="184" spans="15:36" x14ac:dyDescent="0.25">
      <c r="O184" s="60">
        <f t="shared" si="32"/>
        <v>46385</v>
      </c>
      <c r="P184" s="121">
        <f t="shared" si="30"/>
        <v>3</v>
      </c>
      <c r="Q184" s="189" t="s">
        <v>190</v>
      </c>
      <c r="R184" s="189" t="s">
        <v>190</v>
      </c>
      <c r="S184" s="189" t="s">
        <v>190</v>
      </c>
      <c r="T184" s="189" t="s">
        <v>190</v>
      </c>
      <c r="U184" s="189" t="s">
        <v>190</v>
      </c>
      <c r="V184" s="60">
        <f t="shared" si="31"/>
        <v>46385</v>
      </c>
      <c r="W184" s="121">
        <f t="shared" si="24"/>
        <v>3</v>
      </c>
      <c r="AD184" s="60">
        <f t="shared" si="33"/>
        <v>46385</v>
      </c>
      <c r="AE184">
        <f t="shared" si="25"/>
        <v>111</v>
      </c>
      <c r="AF184">
        <f t="shared" si="26"/>
        <v>111</v>
      </c>
      <c r="AG184">
        <f t="shared" si="27"/>
        <v>101</v>
      </c>
      <c r="AH184">
        <f t="shared" si="28"/>
        <v>101</v>
      </c>
      <c r="AI184">
        <f t="shared" si="29"/>
        <v>101</v>
      </c>
      <c r="AJ184"/>
    </row>
    <row r="185" spans="15:36" x14ac:dyDescent="0.25">
      <c r="O185" s="60">
        <f t="shared" si="32"/>
        <v>46386</v>
      </c>
      <c r="P185" s="121">
        <f t="shared" si="30"/>
        <v>4</v>
      </c>
      <c r="Q185" s="189" t="s">
        <v>190</v>
      </c>
      <c r="R185" s="189" t="s">
        <v>190</v>
      </c>
      <c r="S185" s="189" t="s">
        <v>190</v>
      </c>
      <c r="T185" s="189" t="s">
        <v>190</v>
      </c>
      <c r="U185" s="189" t="s">
        <v>190</v>
      </c>
      <c r="V185" s="60">
        <f t="shared" si="31"/>
        <v>46386</v>
      </c>
      <c r="W185" s="121">
        <f t="shared" si="24"/>
        <v>4</v>
      </c>
      <c r="AD185" s="60">
        <f t="shared" si="33"/>
        <v>46386</v>
      </c>
      <c r="AE185">
        <f t="shared" si="25"/>
        <v>111</v>
      </c>
      <c r="AF185">
        <f t="shared" si="26"/>
        <v>111</v>
      </c>
      <c r="AG185">
        <f t="shared" si="27"/>
        <v>101</v>
      </c>
      <c r="AH185">
        <f t="shared" si="28"/>
        <v>101</v>
      </c>
      <c r="AI185">
        <f t="shared" si="29"/>
        <v>101</v>
      </c>
      <c r="AJ185"/>
    </row>
    <row r="186" spans="15:36" x14ac:dyDescent="0.25">
      <c r="O186" s="60">
        <f t="shared" si="32"/>
        <v>46387</v>
      </c>
      <c r="P186" s="121">
        <f t="shared" si="30"/>
        <v>5</v>
      </c>
      <c r="Q186" s="189" t="s">
        <v>190</v>
      </c>
      <c r="R186" s="189" t="s">
        <v>190</v>
      </c>
      <c r="S186" s="189" t="s">
        <v>190</v>
      </c>
      <c r="T186" s="189" t="s">
        <v>190</v>
      </c>
      <c r="U186" s="189" t="s">
        <v>190</v>
      </c>
      <c r="V186" s="60">
        <f t="shared" si="31"/>
        <v>46387</v>
      </c>
      <c r="W186" s="121">
        <f t="shared" si="24"/>
        <v>5</v>
      </c>
      <c r="AD186" s="60">
        <f t="shared" si="33"/>
        <v>46387</v>
      </c>
      <c r="AE186">
        <f t="shared" si="25"/>
        <v>111</v>
      </c>
      <c r="AF186">
        <f t="shared" si="26"/>
        <v>111</v>
      </c>
      <c r="AG186">
        <f t="shared" si="27"/>
        <v>101</v>
      </c>
      <c r="AH186">
        <f t="shared" si="28"/>
        <v>101</v>
      </c>
      <c r="AI186">
        <f t="shared" si="29"/>
        <v>101</v>
      </c>
      <c r="AJ186"/>
    </row>
    <row r="187" spans="15:36" x14ac:dyDescent="0.25">
      <c r="O187" s="60">
        <f t="shared" si="32"/>
        <v>46388</v>
      </c>
      <c r="P187" s="121">
        <f t="shared" si="30"/>
        <v>6</v>
      </c>
      <c r="Q187" s="189" t="s">
        <v>190</v>
      </c>
      <c r="R187" s="189" t="s">
        <v>190</v>
      </c>
      <c r="S187" s="189" t="s">
        <v>190</v>
      </c>
      <c r="T187" s="189" t="s">
        <v>190</v>
      </c>
      <c r="U187" s="189" t="s">
        <v>190</v>
      </c>
      <c r="V187" s="60">
        <f t="shared" si="31"/>
        <v>46388</v>
      </c>
      <c r="W187" s="121">
        <f t="shared" si="24"/>
        <v>6</v>
      </c>
      <c r="AD187" s="60">
        <f t="shared" si="33"/>
        <v>46388</v>
      </c>
      <c r="AE187">
        <f t="shared" si="25"/>
        <v>111</v>
      </c>
      <c r="AF187">
        <f t="shared" si="26"/>
        <v>111</v>
      </c>
      <c r="AG187">
        <f t="shared" si="27"/>
        <v>101</v>
      </c>
      <c r="AH187">
        <f t="shared" si="28"/>
        <v>101</v>
      </c>
      <c r="AI187">
        <f t="shared" si="29"/>
        <v>101</v>
      </c>
      <c r="AJ187"/>
    </row>
    <row r="188" spans="15:36" x14ac:dyDescent="0.25">
      <c r="O188" s="60">
        <f t="shared" si="32"/>
        <v>46389</v>
      </c>
      <c r="P188" s="121">
        <f t="shared" si="30"/>
        <v>7</v>
      </c>
      <c r="Q188" s="189" t="str">
        <f t="shared" ref="Q188:U239" si="36">IF(OR($P188=2,$P188=3,$P188=4,$P188=5,$P188=6),1,"")</f>
        <v/>
      </c>
      <c r="R188" s="189" t="str">
        <f t="shared" si="36"/>
        <v/>
      </c>
      <c r="S188" s="189" t="str">
        <f t="shared" si="36"/>
        <v/>
      </c>
      <c r="T188" s="189" t="str">
        <f t="shared" si="36"/>
        <v/>
      </c>
      <c r="U188" s="189" t="str">
        <f t="shared" si="36"/>
        <v/>
      </c>
      <c r="V188" s="60">
        <f t="shared" si="31"/>
        <v>46389</v>
      </c>
      <c r="W188" s="121">
        <f t="shared" si="24"/>
        <v>7</v>
      </c>
      <c r="AD188" s="60">
        <f t="shared" si="33"/>
        <v>46389</v>
      </c>
      <c r="AE188">
        <f t="shared" si="25"/>
        <v>111</v>
      </c>
      <c r="AF188">
        <f t="shared" si="26"/>
        <v>111</v>
      </c>
      <c r="AG188">
        <f t="shared" si="27"/>
        <v>101</v>
      </c>
      <c r="AH188">
        <f t="shared" si="28"/>
        <v>101</v>
      </c>
      <c r="AI188">
        <f t="shared" si="29"/>
        <v>101</v>
      </c>
      <c r="AJ188"/>
    </row>
    <row r="189" spans="15:36" x14ac:dyDescent="0.25">
      <c r="O189" s="60">
        <f t="shared" si="32"/>
        <v>46390</v>
      </c>
      <c r="P189" s="121">
        <f t="shared" si="30"/>
        <v>1</v>
      </c>
      <c r="Q189" s="189" t="str">
        <f t="shared" si="36"/>
        <v/>
      </c>
      <c r="R189" s="189" t="str">
        <f t="shared" si="36"/>
        <v/>
      </c>
      <c r="S189" s="189" t="str">
        <f t="shared" si="36"/>
        <v/>
      </c>
      <c r="T189" s="189" t="str">
        <f t="shared" si="36"/>
        <v/>
      </c>
      <c r="U189" s="189" t="str">
        <f t="shared" si="36"/>
        <v/>
      </c>
      <c r="V189" s="60">
        <f t="shared" si="31"/>
        <v>46390</v>
      </c>
      <c r="W189" s="121">
        <f t="shared" si="24"/>
        <v>1</v>
      </c>
      <c r="AD189" s="60">
        <f t="shared" si="33"/>
        <v>46390</v>
      </c>
      <c r="AE189">
        <f t="shared" si="25"/>
        <v>111</v>
      </c>
      <c r="AF189">
        <f t="shared" si="26"/>
        <v>111</v>
      </c>
      <c r="AG189">
        <f t="shared" si="27"/>
        <v>101</v>
      </c>
      <c r="AH189">
        <f t="shared" si="28"/>
        <v>101</v>
      </c>
      <c r="AI189">
        <f t="shared" si="29"/>
        <v>101</v>
      </c>
      <c r="AJ189"/>
    </row>
    <row r="190" spans="15:36" x14ac:dyDescent="0.25">
      <c r="O190" s="60">
        <f t="shared" si="32"/>
        <v>46391</v>
      </c>
      <c r="P190" s="121">
        <f t="shared" si="30"/>
        <v>2</v>
      </c>
      <c r="Q190" s="189">
        <f t="shared" si="36"/>
        <v>1</v>
      </c>
      <c r="R190" s="189">
        <f t="shared" si="36"/>
        <v>1</v>
      </c>
      <c r="S190" s="189">
        <f t="shared" si="36"/>
        <v>1</v>
      </c>
      <c r="T190" s="189">
        <f t="shared" si="36"/>
        <v>1</v>
      </c>
      <c r="U190" s="189">
        <f t="shared" si="36"/>
        <v>1</v>
      </c>
      <c r="V190" s="60">
        <f t="shared" si="31"/>
        <v>46391</v>
      </c>
      <c r="W190" s="121">
        <f t="shared" si="24"/>
        <v>2</v>
      </c>
      <c r="AC190" t="s">
        <v>261</v>
      </c>
      <c r="AD190" s="60">
        <f t="shared" si="33"/>
        <v>46391</v>
      </c>
      <c r="AE190">
        <f t="shared" si="25"/>
        <v>110</v>
      </c>
      <c r="AF190">
        <f t="shared" si="26"/>
        <v>110</v>
      </c>
      <c r="AG190">
        <f t="shared" si="27"/>
        <v>100</v>
      </c>
      <c r="AH190">
        <f t="shared" si="28"/>
        <v>100</v>
      </c>
      <c r="AI190">
        <f t="shared" si="29"/>
        <v>100</v>
      </c>
      <c r="AJ190"/>
    </row>
    <row r="191" spans="15:36" x14ac:dyDescent="0.25">
      <c r="O191" s="60">
        <f t="shared" si="32"/>
        <v>46392</v>
      </c>
      <c r="P191" s="121">
        <f t="shared" si="30"/>
        <v>3</v>
      </c>
      <c r="Q191" s="189">
        <f t="shared" si="36"/>
        <v>1</v>
      </c>
      <c r="R191" s="189">
        <f t="shared" si="36"/>
        <v>1</v>
      </c>
      <c r="S191" s="189">
        <f t="shared" si="36"/>
        <v>1</v>
      </c>
      <c r="T191" s="189">
        <f t="shared" si="36"/>
        <v>1</v>
      </c>
      <c r="U191" s="189">
        <f t="shared" si="36"/>
        <v>1</v>
      </c>
      <c r="V191" s="60">
        <f t="shared" si="31"/>
        <v>46392</v>
      </c>
      <c r="W191" s="121">
        <f t="shared" si="24"/>
        <v>3</v>
      </c>
      <c r="AC191" t="s">
        <v>264</v>
      </c>
      <c r="AD191" s="60">
        <f t="shared" si="33"/>
        <v>46392</v>
      </c>
      <c r="AE191">
        <f t="shared" si="25"/>
        <v>109</v>
      </c>
      <c r="AF191">
        <f t="shared" si="26"/>
        <v>109</v>
      </c>
      <c r="AG191">
        <f t="shared" si="27"/>
        <v>99</v>
      </c>
      <c r="AH191">
        <f t="shared" si="28"/>
        <v>99</v>
      </c>
      <c r="AI191">
        <f t="shared" si="29"/>
        <v>99</v>
      </c>
      <c r="AJ191"/>
    </row>
    <row r="192" spans="15:36" x14ac:dyDescent="0.25">
      <c r="O192" s="60">
        <f t="shared" si="32"/>
        <v>46393</v>
      </c>
      <c r="P192" s="121">
        <f t="shared" si="30"/>
        <v>4</v>
      </c>
      <c r="Q192" s="189">
        <f t="shared" si="36"/>
        <v>1</v>
      </c>
      <c r="R192" s="189">
        <f t="shared" si="36"/>
        <v>1</v>
      </c>
      <c r="S192" s="189">
        <f t="shared" si="36"/>
        <v>1</v>
      </c>
      <c r="T192" s="189">
        <f t="shared" si="36"/>
        <v>1</v>
      </c>
      <c r="U192" s="189">
        <f t="shared" si="36"/>
        <v>1</v>
      </c>
      <c r="V192" s="60">
        <f t="shared" si="31"/>
        <v>46393</v>
      </c>
      <c r="W192" s="121">
        <f t="shared" si="24"/>
        <v>4</v>
      </c>
      <c r="AC192" t="s">
        <v>261</v>
      </c>
      <c r="AD192" s="60">
        <f t="shared" si="33"/>
        <v>46393</v>
      </c>
      <c r="AE192">
        <f t="shared" si="25"/>
        <v>108</v>
      </c>
      <c r="AF192">
        <f t="shared" si="26"/>
        <v>108</v>
      </c>
      <c r="AG192">
        <f t="shared" si="27"/>
        <v>98</v>
      </c>
      <c r="AH192">
        <f t="shared" si="28"/>
        <v>98</v>
      </c>
      <c r="AI192">
        <f t="shared" si="29"/>
        <v>98</v>
      </c>
      <c r="AJ192"/>
    </row>
    <row r="193" spans="15:36" x14ac:dyDescent="0.25">
      <c r="O193" s="60">
        <f t="shared" si="32"/>
        <v>46394</v>
      </c>
      <c r="P193" s="121">
        <f t="shared" si="30"/>
        <v>5</v>
      </c>
      <c r="Q193" s="189">
        <f t="shared" si="36"/>
        <v>1</v>
      </c>
      <c r="R193" s="189">
        <f t="shared" si="36"/>
        <v>1</v>
      </c>
      <c r="S193" s="189">
        <f t="shared" si="36"/>
        <v>1</v>
      </c>
      <c r="T193" s="189">
        <f t="shared" si="36"/>
        <v>1</v>
      </c>
      <c r="U193" s="189">
        <f t="shared" si="36"/>
        <v>1</v>
      </c>
      <c r="V193" s="60">
        <f t="shared" si="31"/>
        <v>46394</v>
      </c>
      <c r="W193" s="121">
        <f t="shared" si="24"/>
        <v>5</v>
      </c>
      <c r="AC193" t="s">
        <v>264</v>
      </c>
      <c r="AD193" s="60">
        <f t="shared" si="33"/>
        <v>46394</v>
      </c>
      <c r="AE193">
        <f t="shared" si="25"/>
        <v>107</v>
      </c>
      <c r="AF193">
        <f t="shared" si="26"/>
        <v>107</v>
      </c>
      <c r="AG193">
        <f t="shared" si="27"/>
        <v>97</v>
      </c>
      <c r="AH193">
        <f t="shared" si="28"/>
        <v>97</v>
      </c>
      <c r="AI193">
        <f t="shared" si="29"/>
        <v>97</v>
      </c>
      <c r="AJ193"/>
    </row>
    <row r="194" spans="15:36" x14ac:dyDescent="0.25">
      <c r="O194" s="60">
        <f t="shared" si="32"/>
        <v>46395</v>
      </c>
      <c r="P194" s="121">
        <f t="shared" si="30"/>
        <v>6</v>
      </c>
      <c r="Q194" s="189">
        <f t="shared" si="36"/>
        <v>1</v>
      </c>
      <c r="R194" s="189">
        <f t="shared" si="36"/>
        <v>1</v>
      </c>
      <c r="S194" s="189">
        <f t="shared" si="36"/>
        <v>1</v>
      </c>
      <c r="T194" s="189">
        <f t="shared" si="36"/>
        <v>1</v>
      </c>
      <c r="U194" s="189">
        <f t="shared" si="36"/>
        <v>1</v>
      </c>
      <c r="V194" s="60">
        <f t="shared" si="31"/>
        <v>46395</v>
      </c>
      <c r="W194" s="121">
        <f t="shared" si="24"/>
        <v>6</v>
      </c>
      <c r="AC194" t="s">
        <v>261</v>
      </c>
      <c r="AD194" s="60">
        <f t="shared" si="33"/>
        <v>46395</v>
      </c>
      <c r="AE194">
        <f t="shared" si="25"/>
        <v>106</v>
      </c>
      <c r="AF194">
        <f t="shared" si="26"/>
        <v>106</v>
      </c>
      <c r="AG194">
        <f t="shared" si="27"/>
        <v>96</v>
      </c>
      <c r="AH194">
        <f t="shared" si="28"/>
        <v>96</v>
      </c>
      <c r="AI194">
        <f t="shared" si="29"/>
        <v>96</v>
      </c>
      <c r="AJ194"/>
    </row>
    <row r="195" spans="15:36" x14ac:dyDescent="0.25">
      <c r="O195" s="60">
        <f t="shared" si="32"/>
        <v>46396</v>
      </c>
      <c r="P195" s="121">
        <f t="shared" si="30"/>
        <v>7</v>
      </c>
      <c r="Q195" s="189" t="str">
        <f t="shared" si="36"/>
        <v/>
      </c>
      <c r="R195" s="189" t="str">
        <f t="shared" si="36"/>
        <v/>
      </c>
      <c r="S195" s="189" t="str">
        <f t="shared" si="36"/>
        <v/>
      </c>
      <c r="T195" s="189" t="str">
        <f t="shared" si="36"/>
        <v/>
      </c>
      <c r="U195" s="189" t="str">
        <f t="shared" si="36"/>
        <v/>
      </c>
      <c r="V195" s="60">
        <f t="shared" si="31"/>
        <v>46396</v>
      </c>
      <c r="W195" s="121">
        <f t="shared" ref="W195:W258" si="37">WEEKDAY(V195)</f>
        <v>7</v>
      </c>
      <c r="AD195" s="60">
        <f t="shared" si="33"/>
        <v>46396</v>
      </c>
      <c r="AE195">
        <f t="shared" ref="AE195:AE258" si="38">AE194-(IF(Q195=1,1,0))</f>
        <v>106</v>
      </c>
      <c r="AF195">
        <f t="shared" ref="AF195:AF258" si="39">AF194-(IF(R195=1,1,0))</f>
        <v>106</v>
      </c>
      <c r="AG195">
        <f t="shared" ref="AG195:AG258" si="40">AG194-(IF(S195=1,1,0))</f>
        <v>96</v>
      </c>
      <c r="AH195">
        <f t="shared" ref="AH195:AH258" si="41">AH194-(IF(T195=1,1,0))</f>
        <v>96</v>
      </c>
      <c r="AI195">
        <f t="shared" ref="AI195:AI258" si="42">AI194-(IF(U195=1,1,0))</f>
        <v>96</v>
      </c>
      <c r="AJ195"/>
    </row>
    <row r="196" spans="15:36" x14ac:dyDescent="0.25">
      <c r="O196" s="60">
        <f t="shared" si="32"/>
        <v>46397</v>
      </c>
      <c r="P196" s="121">
        <f t="shared" ref="P196:P259" si="43">WEEKDAY(O196)</f>
        <v>1</v>
      </c>
      <c r="Q196" s="189" t="str">
        <f t="shared" si="36"/>
        <v/>
      </c>
      <c r="R196" s="189" t="str">
        <f t="shared" si="36"/>
        <v/>
      </c>
      <c r="S196" s="189" t="str">
        <f t="shared" si="36"/>
        <v/>
      </c>
      <c r="T196" s="189" t="str">
        <f t="shared" si="36"/>
        <v/>
      </c>
      <c r="U196" s="189" t="str">
        <f t="shared" si="36"/>
        <v/>
      </c>
      <c r="V196" s="60">
        <f t="shared" ref="V196:V259" si="44">V195+1</f>
        <v>46397</v>
      </c>
      <c r="W196" s="121">
        <f t="shared" si="37"/>
        <v>1</v>
      </c>
      <c r="AD196" s="60">
        <f t="shared" si="33"/>
        <v>46397</v>
      </c>
      <c r="AE196">
        <f t="shared" si="38"/>
        <v>106</v>
      </c>
      <c r="AF196">
        <f t="shared" si="39"/>
        <v>106</v>
      </c>
      <c r="AG196">
        <f t="shared" si="40"/>
        <v>96</v>
      </c>
      <c r="AH196">
        <f t="shared" si="41"/>
        <v>96</v>
      </c>
      <c r="AI196">
        <f t="shared" si="42"/>
        <v>96</v>
      </c>
      <c r="AJ196"/>
    </row>
    <row r="197" spans="15:36" x14ac:dyDescent="0.25">
      <c r="O197" s="60">
        <f t="shared" si="32"/>
        <v>46398</v>
      </c>
      <c r="P197" s="121">
        <f t="shared" si="43"/>
        <v>2</v>
      </c>
      <c r="Q197" s="189">
        <f t="shared" si="36"/>
        <v>1</v>
      </c>
      <c r="R197" s="189">
        <f t="shared" si="36"/>
        <v>1</v>
      </c>
      <c r="S197" s="189">
        <f t="shared" si="36"/>
        <v>1</v>
      </c>
      <c r="T197" s="189">
        <f t="shared" si="36"/>
        <v>1</v>
      </c>
      <c r="U197" s="189">
        <f t="shared" si="36"/>
        <v>1</v>
      </c>
      <c r="V197" s="60">
        <f t="shared" si="44"/>
        <v>46398</v>
      </c>
      <c r="W197" s="121">
        <f t="shared" si="37"/>
        <v>2</v>
      </c>
      <c r="AC197" t="s">
        <v>264</v>
      </c>
      <c r="AD197" s="60">
        <f t="shared" si="33"/>
        <v>46398</v>
      </c>
      <c r="AE197">
        <f t="shared" si="38"/>
        <v>105</v>
      </c>
      <c r="AF197">
        <f t="shared" si="39"/>
        <v>105</v>
      </c>
      <c r="AG197">
        <f t="shared" si="40"/>
        <v>95</v>
      </c>
      <c r="AH197">
        <f t="shared" si="41"/>
        <v>95</v>
      </c>
      <c r="AI197">
        <f t="shared" si="42"/>
        <v>95</v>
      </c>
      <c r="AJ197"/>
    </row>
    <row r="198" spans="15:36" x14ac:dyDescent="0.25">
      <c r="O198" s="60">
        <f t="shared" ref="O198:O261" si="45">O197+1</f>
        <v>46399</v>
      </c>
      <c r="P198" s="121">
        <f t="shared" si="43"/>
        <v>3</v>
      </c>
      <c r="Q198" s="189">
        <f t="shared" si="36"/>
        <v>1</v>
      </c>
      <c r="R198" s="189">
        <f t="shared" si="36"/>
        <v>1</v>
      </c>
      <c r="S198" s="189">
        <f t="shared" si="36"/>
        <v>1</v>
      </c>
      <c r="T198" s="189">
        <f t="shared" si="36"/>
        <v>1</v>
      </c>
      <c r="U198" s="189">
        <f t="shared" si="36"/>
        <v>1</v>
      </c>
      <c r="V198" s="60">
        <f t="shared" si="44"/>
        <v>46399</v>
      </c>
      <c r="W198" s="121">
        <f t="shared" si="37"/>
        <v>3</v>
      </c>
      <c r="AC198" t="s">
        <v>261</v>
      </c>
      <c r="AD198" s="60">
        <f t="shared" ref="AD198:AD261" si="46">AD197+1</f>
        <v>46399</v>
      </c>
      <c r="AE198">
        <f t="shared" si="38"/>
        <v>104</v>
      </c>
      <c r="AF198">
        <f t="shared" si="39"/>
        <v>104</v>
      </c>
      <c r="AG198">
        <f t="shared" si="40"/>
        <v>94</v>
      </c>
      <c r="AH198">
        <f t="shared" si="41"/>
        <v>94</v>
      </c>
      <c r="AI198">
        <f t="shared" si="42"/>
        <v>94</v>
      </c>
      <c r="AJ198"/>
    </row>
    <row r="199" spans="15:36" x14ac:dyDescent="0.25">
      <c r="O199" s="60">
        <f t="shared" si="45"/>
        <v>46400</v>
      </c>
      <c r="P199" s="121">
        <f t="shared" si="43"/>
        <v>4</v>
      </c>
      <c r="Q199" s="189">
        <f t="shared" si="36"/>
        <v>1</v>
      </c>
      <c r="R199" s="189">
        <f t="shared" si="36"/>
        <v>1</v>
      </c>
      <c r="S199" s="189">
        <f t="shared" si="36"/>
        <v>1</v>
      </c>
      <c r="T199" s="189">
        <f t="shared" si="36"/>
        <v>1</v>
      </c>
      <c r="U199" s="189">
        <f t="shared" si="36"/>
        <v>1</v>
      </c>
      <c r="V199" s="60">
        <f t="shared" si="44"/>
        <v>46400</v>
      </c>
      <c r="W199" s="121">
        <f t="shared" si="37"/>
        <v>4</v>
      </c>
      <c r="AC199" t="s">
        <v>264</v>
      </c>
      <c r="AD199" s="60">
        <f t="shared" si="46"/>
        <v>46400</v>
      </c>
      <c r="AE199">
        <f t="shared" si="38"/>
        <v>103</v>
      </c>
      <c r="AF199">
        <f t="shared" si="39"/>
        <v>103</v>
      </c>
      <c r="AG199">
        <f t="shared" si="40"/>
        <v>93</v>
      </c>
      <c r="AH199">
        <f t="shared" si="41"/>
        <v>93</v>
      </c>
      <c r="AI199">
        <f t="shared" si="42"/>
        <v>93</v>
      </c>
      <c r="AJ199"/>
    </row>
    <row r="200" spans="15:36" x14ac:dyDescent="0.25">
      <c r="O200" s="60">
        <f t="shared" si="45"/>
        <v>46401</v>
      </c>
      <c r="P200" s="121">
        <f t="shared" si="43"/>
        <v>5</v>
      </c>
      <c r="Q200" s="189">
        <f t="shared" si="36"/>
        <v>1</v>
      </c>
      <c r="R200" s="189">
        <f t="shared" si="36"/>
        <v>1</v>
      </c>
      <c r="S200" s="189">
        <f t="shared" si="36"/>
        <v>1</v>
      </c>
      <c r="T200" s="189">
        <f t="shared" si="36"/>
        <v>1</v>
      </c>
      <c r="U200" s="189">
        <f t="shared" si="36"/>
        <v>1</v>
      </c>
      <c r="V200" s="60">
        <f t="shared" si="44"/>
        <v>46401</v>
      </c>
      <c r="W200" s="121">
        <f t="shared" si="37"/>
        <v>5</v>
      </c>
      <c r="AC200" t="s">
        <v>261</v>
      </c>
      <c r="AD200" s="60">
        <f t="shared" si="46"/>
        <v>46401</v>
      </c>
      <c r="AE200">
        <f t="shared" si="38"/>
        <v>102</v>
      </c>
      <c r="AF200">
        <f t="shared" si="39"/>
        <v>102</v>
      </c>
      <c r="AG200">
        <f t="shared" si="40"/>
        <v>92</v>
      </c>
      <c r="AH200">
        <f t="shared" si="41"/>
        <v>92</v>
      </c>
      <c r="AI200">
        <f t="shared" si="42"/>
        <v>92</v>
      </c>
      <c r="AJ200"/>
    </row>
    <row r="201" spans="15:36" x14ac:dyDescent="0.25">
      <c r="O201" s="60">
        <f t="shared" si="45"/>
        <v>46402</v>
      </c>
      <c r="P201" s="121">
        <f t="shared" si="43"/>
        <v>6</v>
      </c>
      <c r="Q201" s="189" t="s">
        <v>178</v>
      </c>
      <c r="R201" s="189" t="s">
        <v>178</v>
      </c>
      <c r="S201" s="189" t="s">
        <v>178</v>
      </c>
      <c r="T201" s="189" t="s">
        <v>178</v>
      </c>
      <c r="U201" s="189" t="s">
        <v>178</v>
      </c>
      <c r="V201" s="60">
        <f t="shared" si="44"/>
        <v>46402</v>
      </c>
      <c r="W201" s="121">
        <f t="shared" si="37"/>
        <v>6</v>
      </c>
      <c r="X201" t="s">
        <v>575</v>
      </c>
      <c r="Y201" t="s">
        <v>575</v>
      </c>
      <c r="Z201" t="s">
        <v>575</v>
      </c>
      <c r="AA201" t="s">
        <v>575</v>
      </c>
      <c r="AB201" t="s">
        <v>575</v>
      </c>
      <c r="AD201" s="60">
        <f t="shared" si="46"/>
        <v>46402</v>
      </c>
      <c r="AE201">
        <f t="shared" si="38"/>
        <v>102</v>
      </c>
      <c r="AF201">
        <f t="shared" si="39"/>
        <v>102</v>
      </c>
      <c r="AG201">
        <f t="shared" si="40"/>
        <v>92</v>
      </c>
      <c r="AH201">
        <f t="shared" si="41"/>
        <v>92</v>
      </c>
      <c r="AI201">
        <f t="shared" si="42"/>
        <v>92</v>
      </c>
      <c r="AJ201"/>
    </row>
    <row r="202" spans="15:36" x14ac:dyDescent="0.25">
      <c r="O202" s="60">
        <f t="shared" si="45"/>
        <v>46403</v>
      </c>
      <c r="P202" s="121">
        <f t="shared" si="43"/>
        <v>7</v>
      </c>
      <c r="Q202" s="189" t="str">
        <f t="shared" si="36"/>
        <v/>
      </c>
      <c r="R202" s="189" t="str">
        <f t="shared" si="36"/>
        <v/>
      </c>
      <c r="S202" s="189" t="str">
        <f t="shared" si="36"/>
        <v/>
      </c>
      <c r="T202" s="189" t="str">
        <f t="shared" si="36"/>
        <v/>
      </c>
      <c r="U202" s="189" t="str">
        <f t="shared" si="36"/>
        <v/>
      </c>
      <c r="V202" s="60">
        <f t="shared" si="44"/>
        <v>46403</v>
      </c>
      <c r="W202" s="121">
        <f t="shared" si="37"/>
        <v>7</v>
      </c>
      <c r="AD202" s="60">
        <f t="shared" si="46"/>
        <v>46403</v>
      </c>
      <c r="AE202">
        <f t="shared" si="38"/>
        <v>102</v>
      </c>
      <c r="AF202">
        <f t="shared" si="39"/>
        <v>102</v>
      </c>
      <c r="AG202">
        <f t="shared" si="40"/>
        <v>92</v>
      </c>
      <c r="AH202">
        <f t="shared" si="41"/>
        <v>92</v>
      </c>
      <c r="AI202">
        <f t="shared" si="42"/>
        <v>92</v>
      </c>
      <c r="AJ202"/>
    </row>
    <row r="203" spans="15:36" x14ac:dyDescent="0.25">
      <c r="O203" s="60">
        <f t="shared" si="45"/>
        <v>46404</v>
      </c>
      <c r="P203" s="121">
        <f t="shared" si="43"/>
        <v>1</v>
      </c>
      <c r="Q203" s="189" t="str">
        <f t="shared" si="36"/>
        <v/>
      </c>
      <c r="R203" s="189" t="str">
        <f t="shared" si="36"/>
        <v/>
      </c>
      <c r="S203" s="189" t="str">
        <f t="shared" si="36"/>
        <v/>
      </c>
      <c r="T203" s="189" t="str">
        <f t="shared" si="36"/>
        <v/>
      </c>
      <c r="U203" s="189" t="str">
        <f t="shared" si="36"/>
        <v/>
      </c>
      <c r="V203" s="60">
        <f t="shared" si="44"/>
        <v>46404</v>
      </c>
      <c r="W203" s="121">
        <f t="shared" si="37"/>
        <v>1</v>
      </c>
      <c r="AD203" s="60">
        <f t="shared" si="46"/>
        <v>46404</v>
      </c>
      <c r="AE203">
        <f t="shared" si="38"/>
        <v>102</v>
      </c>
      <c r="AF203">
        <f t="shared" si="39"/>
        <v>102</v>
      </c>
      <c r="AG203">
        <f t="shared" si="40"/>
        <v>92</v>
      </c>
      <c r="AH203">
        <f t="shared" si="41"/>
        <v>92</v>
      </c>
      <c r="AI203">
        <f t="shared" si="42"/>
        <v>92</v>
      </c>
      <c r="AJ203"/>
    </row>
    <row r="204" spans="15:36" x14ac:dyDescent="0.25">
      <c r="O204" s="60">
        <f t="shared" si="45"/>
        <v>46405</v>
      </c>
      <c r="P204" s="121">
        <f t="shared" si="43"/>
        <v>2</v>
      </c>
      <c r="Q204" s="189" t="s">
        <v>190</v>
      </c>
      <c r="R204" s="189" t="s">
        <v>190</v>
      </c>
      <c r="S204" s="189" t="s">
        <v>190</v>
      </c>
      <c r="T204" s="189" t="s">
        <v>190</v>
      </c>
      <c r="U204" s="189" t="s">
        <v>190</v>
      </c>
      <c r="V204" s="60">
        <f t="shared" si="44"/>
        <v>46405</v>
      </c>
      <c r="W204" s="121">
        <f t="shared" si="37"/>
        <v>2</v>
      </c>
      <c r="AD204" s="60">
        <f t="shared" si="46"/>
        <v>46405</v>
      </c>
      <c r="AE204">
        <f t="shared" si="38"/>
        <v>102</v>
      </c>
      <c r="AF204">
        <f t="shared" si="39"/>
        <v>102</v>
      </c>
      <c r="AG204">
        <f t="shared" si="40"/>
        <v>92</v>
      </c>
      <c r="AH204">
        <f t="shared" si="41"/>
        <v>92</v>
      </c>
      <c r="AI204">
        <f t="shared" si="42"/>
        <v>92</v>
      </c>
      <c r="AJ204"/>
    </row>
    <row r="205" spans="15:36" x14ac:dyDescent="0.25">
      <c r="O205" s="60">
        <f t="shared" si="45"/>
        <v>46406</v>
      </c>
      <c r="P205" s="121">
        <f t="shared" si="43"/>
        <v>3</v>
      </c>
      <c r="Q205" s="189">
        <f t="shared" si="36"/>
        <v>1</v>
      </c>
      <c r="R205" s="189">
        <f t="shared" si="36"/>
        <v>1</v>
      </c>
      <c r="S205" s="189">
        <f t="shared" si="36"/>
        <v>1</v>
      </c>
      <c r="T205" s="189">
        <f t="shared" si="36"/>
        <v>1</v>
      </c>
      <c r="U205" s="189">
        <f t="shared" si="36"/>
        <v>1</v>
      </c>
      <c r="V205" s="60">
        <f t="shared" si="44"/>
        <v>46406</v>
      </c>
      <c r="W205" s="121">
        <f t="shared" si="37"/>
        <v>3</v>
      </c>
      <c r="AC205" t="s">
        <v>264</v>
      </c>
      <c r="AD205" s="60">
        <f t="shared" si="46"/>
        <v>46406</v>
      </c>
      <c r="AE205">
        <f t="shared" si="38"/>
        <v>101</v>
      </c>
      <c r="AF205">
        <f t="shared" si="39"/>
        <v>101</v>
      </c>
      <c r="AG205">
        <f t="shared" si="40"/>
        <v>91</v>
      </c>
      <c r="AH205">
        <f t="shared" si="41"/>
        <v>91</v>
      </c>
      <c r="AI205">
        <f t="shared" si="42"/>
        <v>91</v>
      </c>
      <c r="AJ205"/>
    </row>
    <row r="206" spans="15:36" x14ac:dyDescent="0.25">
      <c r="O206" s="60">
        <f t="shared" si="45"/>
        <v>46407</v>
      </c>
      <c r="P206" s="121">
        <f t="shared" si="43"/>
        <v>4</v>
      </c>
      <c r="Q206" s="189">
        <f t="shared" si="36"/>
        <v>1</v>
      </c>
      <c r="R206" s="189">
        <f t="shared" si="36"/>
        <v>1</v>
      </c>
      <c r="S206" s="189">
        <f t="shared" si="36"/>
        <v>1</v>
      </c>
      <c r="T206" s="189">
        <f t="shared" si="36"/>
        <v>1</v>
      </c>
      <c r="U206" s="189">
        <f t="shared" si="36"/>
        <v>1</v>
      </c>
      <c r="V206" s="60">
        <f t="shared" si="44"/>
        <v>46407</v>
      </c>
      <c r="W206" s="121">
        <f t="shared" si="37"/>
        <v>4</v>
      </c>
      <c r="AC206" t="s">
        <v>261</v>
      </c>
      <c r="AD206" s="60">
        <f t="shared" si="46"/>
        <v>46407</v>
      </c>
      <c r="AE206">
        <f t="shared" si="38"/>
        <v>100</v>
      </c>
      <c r="AF206">
        <f t="shared" si="39"/>
        <v>100</v>
      </c>
      <c r="AG206">
        <f t="shared" si="40"/>
        <v>90</v>
      </c>
      <c r="AH206">
        <f t="shared" si="41"/>
        <v>90</v>
      </c>
      <c r="AI206">
        <f t="shared" si="42"/>
        <v>90</v>
      </c>
      <c r="AJ206"/>
    </row>
    <row r="207" spans="15:36" x14ac:dyDescent="0.25">
      <c r="O207" s="60">
        <f t="shared" si="45"/>
        <v>46408</v>
      </c>
      <c r="P207" s="121">
        <f t="shared" si="43"/>
        <v>5</v>
      </c>
      <c r="Q207" s="189">
        <f t="shared" si="36"/>
        <v>1</v>
      </c>
      <c r="R207" s="189">
        <f t="shared" si="36"/>
        <v>1</v>
      </c>
      <c r="S207" s="189">
        <f t="shared" si="36"/>
        <v>1</v>
      </c>
      <c r="T207" s="189">
        <f t="shared" si="36"/>
        <v>1</v>
      </c>
      <c r="U207" s="189">
        <f t="shared" si="36"/>
        <v>1</v>
      </c>
      <c r="V207" s="60">
        <f t="shared" si="44"/>
        <v>46408</v>
      </c>
      <c r="W207" s="121">
        <f t="shared" si="37"/>
        <v>5</v>
      </c>
      <c r="AC207" t="s">
        <v>264</v>
      </c>
      <c r="AD207" s="60">
        <f t="shared" si="46"/>
        <v>46408</v>
      </c>
      <c r="AE207">
        <f t="shared" si="38"/>
        <v>99</v>
      </c>
      <c r="AF207">
        <f t="shared" si="39"/>
        <v>99</v>
      </c>
      <c r="AG207">
        <f t="shared" si="40"/>
        <v>89</v>
      </c>
      <c r="AH207">
        <f t="shared" si="41"/>
        <v>89</v>
      </c>
      <c r="AI207">
        <f t="shared" si="42"/>
        <v>89</v>
      </c>
      <c r="AJ207"/>
    </row>
    <row r="208" spans="15:36" x14ac:dyDescent="0.25">
      <c r="O208" s="60">
        <f t="shared" si="45"/>
        <v>46409</v>
      </c>
      <c r="P208" s="121">
        <f t="shared" si="43"/>
        <v>6</v>
      </c>
      <c r="Q208" s="189">
        <f t="shared" si="36"/>
        <v>1</v>
      </c>
      <c r="R208" s="189">
        <f t="shared" si="36"/>
        <v>1</v>
      </c>
      <c r="S208" s="189">
        <f t="shared" si="36"/>
        <v>1</v>
      </c>
      <c r="T208" s="189">
        <f t="shared" si="36"/>
        <v>1</v>
      </c>
      <c r="U208" s="189">
        <f t="shared" si="36"/>
        <v>1</v>
      </c>
      <c r="V208" s="60">
        <f t="shared" si="44"/>
        <v>46409</v>
      </c>
      <c r="W208" s="121">
        <f t="shared" si="37"/>
        <v>6</v>
      </c>
      <c r="AC208" t="s">
        <v>261</v>
      </c>
      <c r="AD208" s="60">
        <f t="shared" si="46"/>
        <v>46409</v>
      </c>
      <c r="AE208">
        <f t="shared" si="38"/>
        <v>98</v>
      </c>
      <c r="AF208">
        <f t="shared" si="39"/>
        <v>98</v>
      </c>
      <c r="AG208">
        <f t="shared" si="40"/>
        <v>88</v>
      </c>
      <c r="AH208">
        <f t="shared" si="41"/>
        <v>88</v>
      </c>
      <c r="AI208">
        <f t="shared" si="42"/>
        <v>88</v>
      </c>
      <c r="AJ208"/>
    </row>
    <row r="209" spans="15:36" x14ac:dyDescent="0.25">
      <c r="O209" s="60">
        <f t="shared" si="45"/>
        <v>46410</v>
      </c>
      <c r="P209" s="121">
        <f t="shared" si="43"/>
        <v>7</v>
      </c>
      <c r="Q209" s="189" t="str">
        <f t="shared" si="36"/>
        <v/>
      </c>
      <c r="R209" s="189" t="str">
        <f t="shared" si="36"/>
        <v/>
      </c>
      <c r="S209" s="189" t="str">
        <f t="shared" si="36"/>
        <v/>
      </c>
      <c r="T209" s="189" t="str">
        <f t="shared" si="36"/>
        <v/>
      </c>
      <c r="U209" s="189" t="str">
        <f t="shared" si="36"/>
        <v/>
      </c>
      <c r="V209" s="60">
        <f t="shared" si="44"/>
        <v>46410</v>
      </c>
      <c r="W209" s="121">
        <f t="shared" si="37"/>
        <v>7</v>
      </c>
      <c r="AD209" s="60">
        <f t="shared" si="46"/>
        <v>46410</v>
      </c>
      <c r="AE209">
        <f t="shared" si="38"/>
        <v>98</v>
      </c>
      <c r="AF209">
        <f t="shared" si="39"/>
        <v>98</v>
      </c>
      <c r="AG209">
        <f t="shared" si="40"/>
        <v>88</v>
      </c>
      <c r="AH209">
        <f t="shared" si="41"/>
        <v>88</v>
      </c>
      <c r="AI209">
        <f t="shared" si="42"/>
        <v>88</v>
      </c>
      <c r="AJ209"/>
    </row>
    <row r="210" spans="15:36" x14ac:dyDescent="0.25">
      <c r="O210" s="60">
        <f t="shared" si="45"/>
        <v>46411</v>
      </c>
      <c r="P210" s="121">
        <f t="shared" si="43"/>
        <v>1</v>
      </c>
      <c r="Q210" s="189" t="str">
        <f t="shared" si="36"/>
        <v/>
      </c>
      <c r="R210" s="189" t="str">
        <f t="shared" si="36"/>
        <v/>
      </c>
      <c r="S210" s="189" t="str">
        <f t="shared" si="36"/>
        <v/>
      </c>
      <c r="T210" s="189" t="str">
        <f t="shared" si="36"/>
        <v/>
      </c>
      <c r="U210" s="189" t="str">
        <f t="shared" si="36"/>
        <v/>
      </c>
      <c r="V210" s="60">
        <f t="shared" si="44"/>
        <v>46411</v>
      </c>
      <c r="W210" s="121">
        <f t="shared" si="37"/>
        <v>1</v>
      </c>
      <c r="AD210" s="60">
        <f t="shared" si="46"/>
        <v>46411</v>
      </c>
      <c r="AE210">
        <f t="shared" si="38"/>
        <v>98</v>
      </c>
      <c r="AF210">
        <f t="shared" si="39"/>
        <v>98</v>
      </c>
      <c r="AG210">
        <f t="shared" si="40"/>
        <v>88</v>
      </c>
      <c r="AH210">
        <f t="shared" si="41"/>
        <v>88</v>
      </c>
      <c r="AI210">
        <f t="shared" si="42"/>
        <v>88</v>
      </c>
      <c r="AJ210"/>
    </row>
    <row r="211" spans="15:36" x14ac:dyDescent="0.25">
      <c r="O211" s="60">
        <f t="shared" si="45"/>
        <v>46412</v>
      </c>
      <c r="P211" s="121">
        <f t="shared" si="43"/>
        <v>2</v>
      </c>
      <c r="Q211" s="189">
        <f t="shared" si="36"/>
        <v>1</v>
      </c>
      <c r="R211" s="189">
        <f t="shared" si="36"/>
        <v>1</v>
      </c>
      <c r="S211" s="189">
        <f t="shared" si="36"/>
        <v>1</v>
      </c>
      <c r="T211" s="189">
        <f t="shared" si="36"/>
        <v>1</v>
      </c>
      <c r="U211" s="189">
        <f t="shared" si="36"/>
        <v>1</v>
      </c>
      <c r="V211" s="60">
        <f t="shared" si="44"/>
        <v>46412</v>
      </c>
      <c r="W211" s="121">
        <f t="shared" si="37"/>
        <v>2</v>
      </c>
      <c r="AC211" t="s">
        <v>264</v>
      </c>
      <c r="AD211" s="60">
        <f t="shared" si="46"/>
        <v>46412</v>
      </c>
      <c r="AE211">
        <f t="shared" si="38"/>
        <v>97</v>
      </c>
      <c r="AF211">
        <f t="shared" si="39"/>
        <v>97</v>
      </c>
      <c r="AG211">
        <f t="shared" si="40"/>
        <v>87</v>
      </c>
      <c r="AH211">
        <f t="shared" si="41"/>
        <v>87</v>
      </c>
      <c r="AI211">
        <f t="shared" si="42"/>
        <v>87</v>
      </c>
      <c r="AJ211"/>
    </row>
    <row r="212" spans="15:36" x14ac:dyDescent="0.25">
      <c r="O212" s="60">
        <f t="shared" si="45"/>
        <v>46413</v>
      </c>
      <c r="P212" s="121">
        <f t="shared" si="43"/>
        <v>3</v>
      </c>
      <c r="Q212" s="189">
        <f t="shared" si="36"/>
        <v>1</v>
      </c>
      <c r="R212" s="189">
        <f t="shared" si="36"/>
        <v>1</v>
      </c>
      <c r="S212" s="189">
        <f t="shared" si="36"/>
        <v>1</v>
      </c>
      <c r="T212" s="189">
        <f t="shared" si="36"/>
        <v>1</v>
      </c>
      <c r="U212" s="189">
        <f t="shared" si="36"/>
        <v>1</v>
      </c>
      <c r="V212" s="60">
        <f t="shared" si="44"/>
        <v>46413</v>
      </c>
      <c r="W212" s="121">
        <f t="shared" si="37"/>
        <v>3</v>
      </c>
      <c r="AC212" t="s">
        <v>261</v>
      </c>
      <c r="AD212" s="60">
        <f t="shared" si="46"/>
        <v>46413</v>
      </c>
      <c r="AE212">
        <f t="shared" si="38"/>
        <v>96</v>
      </c>
      <c r="AF212">
        <f t="shared" si="39"/>
        <v>96</v>
      </c>
      <c r="AG212">
        <f t="shared" si="40"/>
        <v>86</v>
      </c>
      <c r="AH212">
        <f t="shared" si="41"/>
        <v>86</v>
      </c>
      <c r="AI212">
        <f t="shared" si="42"/>
        <v>86</v>
      </c>
      <c r="AJ212"/>
    </row>
    <row r="213" spans="15:36" x14ac:dyDescent="0.25">
      <c r="O213" s="60">
        <f t="shared" si="45"/>
        <v>46414</v>
      </c>
      <c r="P213" s="121">
        <f t="shared" si="43"/>
        <v>4</v>
      </c>
      <c r="Q213" s="189">
        <f t="shared" si="36"/>
        <v>1</v>
      </c>
      <c r="R213" s="189">
        <f t="shared" si="36"/>
        <v>1</v>
      </c>
      <c r="S213" s="189">
        <f t="shared" si="36"/>
        <v>1</v>
      </c>
      <c r="T213" s="189">
        <f t="shared" si="36"/>
        <v>1</v>
      </c>
      <c r="U213" s="189">
        <f t="shared" si="36"/>
        <v>1</v>
      </c>
      <c r="V213" s="60">
        <f t="shared" si="44"/>
        <v>46414</v>
      </c>
      <c r="W213" s="121">
        <f t="shared" si="37"/>
        <v>4</v>
      </c>
      <c r="AC213" t="s">
        <v>264</v>
      </c>
      <c r="AD213" s="60">
        <f t="shared" si="46"/>
        <v>46414</v>
      </c>
      <c r="AE213">
        <f t="shared" si="38"/>
        <v>95</v>
      </c>
      <c r="AF213">
        <f t="shared" si="39"/>
        <v>95</v>
      </c>
      <c r="AG213">
        <f t="shared" si="40"/>
        <v>85</v>
      </c>
      <c r="AH213">
        <f t="shared" si="41"/>
        <v>85</v>
      </c>
      <c r="AI213">
        <f t="shared" si="42"/>
        <v>85</v>
      </c>
      <c r="AJ213"/>
    </row>
    <row r="214" spans="15:36" x14ac:dyDescent="0.25">
      <c r="O214" s="60">
        <f t="shared" si="45"/>
        <v>46415</v>
      </c>
      <c r="P214" s="121">
        <f t="shared" si="43"/>
        <v>5</v>
      </c>
      <c r="Q214" s="189">
        <f t="shared" si="36"/>
        <v>1</v>
      </c>
      <c r="R214" s="189">
        <f t="shared" si="36"/>
        <v>1</v>
      </c>
      <c r="S214" s="189">
        <f t="shared" si="36"/>
        <v>1</v>
      </c>
      <c r="T214" s="189">
        <f t="shared" si="36"/>
        <v>1</v>
      </c>
      <c r="U214" s="189">
        <f t="shared" si="36"/>
        <v>1</v>
      </c>
      <c r="V214" s="60">
        <f t="shared" si="44"/>
        <v>46415</v>
      </c>
      <c r="W214" s="121">
        <f t="shared" si="37"/>
        <v>5</v>
      </c>
      <c r="AC214" t="s">
        <v>261</v>
      </c>
      <c r="AD214" s="60">
        <f t="shared" si="46"/>
        <v>46415</v>
      </c>
      <c r="AE214">
        <f t="shared" si="38"/>
        <v>94</v>
      </c>
      <c r="AF214">
        <f t="shared" si="39"/>
        <v>94</v>
      </c>
      <c r="AG214">
        <f t="shared" si="40"/>
        <v>84</v>
      </c>
      <c r="AH214">
        <f t="shared" si="41"/>
        <v>84</v>
      </c>
      <c r="AI214">
        <f t="shared" si="42"/>
        <v>84</v>
      </c>
      <c r="AJ214"/>
    </row>
    <row r="215" spans="15:36" x14ac:dyDescent="0.25">
      <c r="O215" s="60">
        <f t="shared" si="45"/>
        <v>46416</v>
      </c>
      <c r="P215" s="121">
        <f t="shared" si="43"/>
        <v>6</v>
      </c>
      <c r="Q215" s="189">
        <f t="shared" si="36"/>
        <v>1</v>
      </c>
      <c r="R215" s="189">
        <f t="shared" si="36"/>
        <v>1</v>
      </c>
      <c r="S215" s="189">
        <f t="shared" si="36"/>
        <v>1</v>
      </c>
      <c r="T215" s="189">
        <f t="shared" si="36"/>
        <v>1</v>
      </c>
      <c r="U215" s="189">
        <f t="shared" si="36"/>
        <v>1</v>
      </c>
      <c r="V215" s="60">
        <f t="shared" si="44"/>
        <v>46416</v>
      </c>
      <c r="W215" s="121">
        <f t="shared" si="37"/>
        <v>6</v>
      </c>
      <c r="AC215" t="s">
        <v>264</v>
      </c>
      <c r="AD215" s="60">
        <f t="shared" si="46"/>
        <v>46416</v>
      </c>
      <c r="AE215">
        <f t="shared" si="38"/>
        <v>93</v>
      </c>
      <c r="AF215">
        <f t="shared" si="39"/>
        <v>93</v>
      </c>
      <c r="AG215">
        <f t="shared" si="40"/>
        <v>83</v>
      </c>
      <c r="AH215">
        <f t="shared" si="41"/>
        <v>83</v>
      </c>
      <c r="AI215">
        <f t="shared" si="42"/>
        <v>83</v>
      </c>
      <c r="AJ215"/>
    </row>
    <row r="216" spans="15:36" x14ac:dyDescent="0.25">
      <c r="O216" s="60">
        <f t="shared" si="45"/>
        <v>46417</v>
      </c>
      <c r="P216" s="121">
        <f t="shared" si="43"/>
        <v>7</v>
      </c>
      <c r="Q216" s="189" t="str">
        <f t="shared" si="36"/>
        <v/>
      </c>
      <c r="R216" s="189" t="str">
        <f t="shared" si="36"/>
        <v/>
      </c>
      <c r="S216" s="189" t="str">
        <f t="shared" si="36"/>
        <v/>
      </c>
      <c r="T216" s="189" t="str">
        <f t="shared" si="36"/>
        <v/>
      </c>
      <c r="U216" s="189" t="str">
        <f t="shared" si="36"/>
        <v/>
      </c>
      <c r="V216" s="60">
        <f t="shared" si="44"/>
        <v>46417</v>
      </c>
      <c r="W216" s="121">
        <f t="shared" si="37"/>
        <v>7</v>
      </c>
      <c r="AD216" s="60">
        <f t="shared" si="46"/>
        <v>46417</v>
      </c>
      <c r="AE216">
        <f t="shared" si="38"/>
        <v>93</v>
      </c>
      <c r="AF216">
        <f t="shared" si="39"/>
        <v>93</v>
      </c>
      <c r="AG216">
        <f t="shared" si="40"/>
        <v>83</v>
      </c>
      <c r="AH216">
        <f t="shared" si="41"/>
        <v>83</v>
      </c>
      <c r="AI216">
        <f t="shared" si="42"/>
        <v>83</v>
      </c>
      <c r="AJ216"/>
    </row>
    <row r="217" spans="15:36" x14ac:dyDescent="0.25">
      <c r="O217" s="60">
        <f t="shared" si="45"/>
        <v>46418</v>
      </c>
      <c r="P217" s="121">
        <f t="shared" si="43"/>
        <v>1</v>
      </c>
      <c r="Q217" s="189" t="str">
        <f t="shared" si="36"/>
        <v/>
      </c>
      <c r="R217" s="189" t="str">
        <f t="shared" si="36"/>
        <v/>
      </c>
      <c r="S217" s="189" t="str">
        <f t="shared" si="36"/>
        <v/>
      </c>
      <c r="T217" s="189" t="str">
        <f t="shared" si="36"/>
        <v/>
      </c>
      <c r="U217" s="189" t="str">
        <f t="shared" si="36"/>
        <v/>
      </c>
      <c r="V217" s="60">
        <f t="shared" si="44"/>
        <v>46418</v>
      </c>
      <c r="W217" s="121">
        <f t="shared" si="37"/>
        <v>1</v>
      </c>
      <c r="AD217" s="60">
        <f t="shared" si="46"/>
        <v>46418</v>
      </c>
      <c r="AE217">
        <f t="shared" si="38"/>
        <v>93</v>
      </c>
      <c r="AF217">
        <f t="shared" si="39"/>
        <v>93</v>
      </c>
      <c r="AG217">
        <f t="shared" si="40"/>
        <v>83</v>
      </c>
      <c r="AH217">
        <f t="shared" si="41"/>
        <v>83</v>
      </c>
      <c r="AI217">
        <f t="shared" si="42"/>
        <v>83</v>
      </c>
      <c r="AJ217"/>
    </row>
    <row r="218" spans="15:36" x14ac:dyDescent="0.25">
      <c r="O218" s="60">
        <f t="shared" si="45"/>
        <v>46419</v>
      </c>
      <c r="P218" s="121">
        <f t="shared" si="43"/>
        <v>2</v>
      </c>
      <c r="Q218" s="189">
        <f t="shared" si="36"/>
        <v>1</v>
      </c>
      <c r="R218" s="189">
        <f t="shared" si="36"/>
        <v>1</v>
      </c>
      <c r="S218" s="189">
        <f t="shared" si="36"/>
        <v>1</v>
      </c>
      <c r="T218" s="189">
        <f t="shared" si="36"/>
        <v>1</v>
      </c>
      <c r="U218" s="189">
        <f t="shared" si="36"/>
        <v>1</v>
      </c>
      <c r="V218" s="60">
        <f t="shared" si="44"/>
        <v>46419</v>
      </c>
      <c r="W218" s="121">
        <f t="shared" si="37"/>
        <v>2</v>
      </c>
      <c r="AC218" t="s">
        <v>261</v>
      </c>
      <c r="AD218" s="60">
        <f t="shared" si="46"/>
        <v>46419</v>
      </c>
      <c r="AE218">
        <f t="shared" si="38"/>
        <v>92</v>
      </c>
      <c r="AF218">
        <f t="shared" si="39"/>
        <v>92</v>
      </c>
      <c r="AG218">
        <f t="shared" si="40"/>
        <v>82</v>
      </c>
      <c r="AH218">
        <f t="shared" si="41"/>
        <v>82</v>
      </c>
      <c r="AI218">
        <f t="shared" si="42"/>
        <v>82</v>
      </c>
      <c r="AJ218"/>
    </row>
    <row r="219" spans="15:36" x14ac:dyDescent="0.25">
      <c r="O219" s="60">
        <f t="shared" si="45"/>
        <v>46420</v>
      </c>
      <c r="P219" s="121">
        <f t="shared" si="43"/>
        <v>3</v>
      </c>
      <c r="Q219" s="189">
        <f t="shared" si="36"/>
        <v>1</v>
      </c>
      <c r="R219" s="189">
        <f t="shared" si="36"/>
        <v>1</v>
      </c>
      <c r="S219" s="189">
        <f t="shared" si="36"/>
        <v>1</v>
      </c>
      <c r="T219" s="189">
        <f t="shared" si="36"/>
        <v>1</v>
      </c>
      <c r="U219" s="189">
        <f t="shared" si="36"/>
        <v>1</v>
      </c>
      <c r="V219" s="60">
        <f t="shared" si="44"/>
        <v>46420</v>
      </c>
      <c r="W219" s="121">
        <f t="shared" si="37"/>
        <v>3</v>
      </c>
      <c r="AC219" t="s">
        <v>264</v>
      </c>
      <c r="AD219" s="60">
        <f t="shared" si="46"/>
        <v>46420</v>
      </c>
      <c r="AE219">
        <f t="shared" si="38"/>
        <v>91</v>
      </c>
      <c r="AF219">
        <f t="shared" si="39"/>
        <v>91</v>
      </c>
      <c r="AG219">
        <f t="shared" si="40"/>
        <v>81</v>
      </c>
      <c r="AH219">
        <f t="shared" si="41"/>
        <v>81</v>
      </c>
      <c r="AI219">
        <f t="shared" si="42"/>
        <v>81</v>
      </c>
      <c r="AJ219"/>
    </row>
    <row r="220" spans="15:36" x14ac:dyDescent="0.25">
      <c r="O220" s="60">
        <f t="shared" si="45"/>
        <v>46421</v>
      </c>
      <c r="P220" s="121">
        <f t="shared" si="43"/>
        <v>4</v>
      </c>
      <c r="Q220" s="189">
        <f t="shared" si="36"/>
        <v>1</v>
      </c>
      <c r="R220" s="189">
        <f t="shared" si="36"/>
        <v>1</v>
      </c>
      <c r="S220" s="189">
        <f t="shared" si="36"/>
        <v>1</v>
      </c>
      <c r="T220" s="189">
        <f t="shared" si="36"/>
        <v>1</v>
      </c>
      <c r="U220" s="189">
        <f t="shared" si="36"/>
        <v>1</v>
      </c>
      <c r="V220" s="60">
        <f t="shared" si="44"/>
        <v>46421</v>
      </c>
      <c r="W220" s="121">
        <f t="shared" si="37"/>
        <v>4</v>
      </c>
      <c r="AC220" t="s">
        <v>261</v>
      </c>
      <c r="AD220" s="60">
        <f t="shared" si="46"/>
        <v>46421</v>
      </c>
      <c r="AE220">
        <f t="shared" si="38"/>
        <v>90</v>
      </c>
      <c r="AF220">
        <f t="shared" si="39"/>
        <v>90</v>
      </c>
      <c r="AG220">
        <f t="shared" si="40"/>
        <v>80</v>
      </c>
      <c r="AH220">
        <f t="shared" si="41"/>
        <v>80</v>
      </c>
      <c r="AI220">
        <f t="shared" si="42"/>
        <v>80</v>
      </c>
      <c r="AJ220"/>
    </row>
    <row r="221" spans="15:36" x14ac:dyDescent="0.25">
      <c r="O221" s="60">
        <f t="shared" si="45"/>
        <v>46422</v>
      </c>
      <c r="P221" s="121">
        <f t="shared" si="43"/>
        <v>5</v>
      </c>
      <c r="Q221" s="189">
        <f t="shared" si="36"/>
        <v>1</v>
      </c>
      <c r="R221" s="189">
        <f t="shared" si="36"/>
        <v>1</v>
      </c>
      <c r="S221" s="189">
        <f t="shared" si="36"/>
        <v>1</v>
      </c>
      <c r="T221" s="189">
        <f t="shared" si="36"/>
        <v>1</v>
      </c>
      <c r="U221" s="189">
        <f t="shared" si="36"/>
        <v>1</v>
      </c>
      <c r="V221" s="60">
        <f t="shared" si="44"/>
        <v>46422</v>
      </c>
      <c r="W221" s="121">
        <f t="shared" si="37"/>
        <v>5</v>
      </c>
      <c r="AC221" t="s">
        <v>264</v>
      </c>
      <c r="AD221" s="60">
        <f t="shared" si="46"/>
        <v>46422</v>
      </c>
      <c r="AE221">
        <f t="shared" si="38"/>
        <v>89</v>
      </c>
      <c r="AF221">
        <f t="shared" si="39"/>
        <v>89</v>
      </c>
      <c r="AG221">
        <f t="shared" si="40"/>
        <v>79</v>
      </c>
      <c r="AH221">
        <f t="shared" si="41"/>
        <v>79</v>
      </c>
      <c r="AI221">
        <f t="shared" si="42"/>
        <v>79</v>
      </c>
      <c r="AJ221"/>
    </row>
    <row r="222" spans="15:36" x14ac:dyDescent="0.25">
      <c r="O222" s="60">
        <f t="shared" si="45"/>
        <v>46423</v>
      </c>
      <c r="P222" s="121">
        <f t="shared" si="43"/>
        <v>6</v>
      </c>
      <c r="Q222" s="189">
        <f t="shared" si="36"/>
        <v>1</v>
      </c>
      <c r="R222" s="189">
        <f t="shared" si="36"/>
        <v>1</v>
      </c>
      <c r="S222" s="189">
        <f t="shared" si="36"/>
        <v>1</v>
      </c>
      <c r="T222" s="189">
        <f t="shared" si="36"/>
        <v>1</v>
      </c>
      <c r="U222" s="189">
        <f t="shared" si="36"/>
        <v>1</v>
      </c>
      <c r="V222" s="60">
        <f t="shared" si="44"/>
        <v>46423</v>
      </c>
      <c r="W222" s="121">
        <f t="shared" si="37"/>
        <v>6</v>
      </c>
      <c r="X222" t="s">
        <v>577</v>
      </c>
      <c r="Y222" t="s">
        <v>577</v>
      </c>
      <c r="Z222" t="s">
        <v>577</v>
      </c>
      <c r="AA222" t="s">
        <v>577</v>
      </c>
      <c r="AB222" t="s">
        <v>577</v>
      </c>
      <c r="AD222" s="60">
        <f t="shared" si="46"/>
        <v>46423</v>
      </c>
      <c r="AE222">
        <f t="shared" si="38"/>
        <v>88</v>
      </c>
      <c r="AF222">
        <f t="shared" si="39"/>
        <v>88</v>
      </c>
      <c r="AG222">
        <f t="shared" si="40"/>
        <v>78</v>
      </c>
      <c r="AH222">
        <f t="shared" si="41"/>
        <v>78</v>
      </c>
      <c r="AI222">
        <f t="shared" si="42"/>
        <v>78</v>
      </c>
      <c r="AJ222"/>
    </row>
    <row r="223" spans="15:36" x14ac:dyDescent="0.25">
      <c r="O223" s="60">
        <f t="shared" si="45"/>
        <v>46424</v>
      </c>
      <c r="P223" s="121">
        <f t="shared" si="43"/>
        <v>7</v>
      </c>
      <c r="Q223" s="189" t="str">
        <f t="shared" si="36"/>
        <v/>
      </c>
      <c r="R223" s="189" t="str">
        <f t="shared" si="36"/>
        <v/>
      </c>
      <c r="S223" s="189" t="str">
        <f t="shared" si="36"/>
        <v/>
      </c>
      <c r="T223" s="189" t="str">
        <f t="shared" si="36"/>
        <v/>
      </c>
      <c r="U223" s="189" t="str">
        <f t="shared" si="36"/>
        <v/>
      </c>
      <c r="V223" s="60">
        <f t="shared" si="44"/>
        <v>46424</v>
      </c>
      <c r="W223" s="121">
        <f t="shared" si="37"/>
        <v>7</v>
      </c>
      <c r="AD223" s="60">
        <f t="shared" si="46"/>
        <v>46424</v>
      </c>
      <c r="AE223">
        <f t="shared" si="38"/>
        <v>88</v>
      </c>
      <c r="AF223">
        <f t="shared" si="39"/>
        <v>88</v>
      </c>
      <c r="AG223">
        <f t="shared" si="40"/>
        <v>78</v>
      </c>
      <c r="AH223">
        <f t="shared" si="41"/>
        <v>78</v>
      </c>
      <c r="AI223">
        <f t="shared" si="42"/>
        <v>78</v>
      </c>
      <c r="AJ223"/>
    </row>
    <row r="224" spans="15:36" x14ac:dyDescent="0.25">
      <c r="O224" s="60">
        <f t="shared" si="45"/>
        <v>46425</v>
      </c>
      <c r="P224" s="121">
        <f t="shared" si="43"/>
        <v>1</v>
      </c>
      <c r="Q224" s="189" t="str">
        <f t="shared" si="36"/>
        <v/>
      </c>
      <c r="R224" s="189" t="str">
        <f t="shared" si="36"/>
        <v/>
      </c>
      <c r="S224" s="189" t="str">
        <f t="shared" si="36"/>
        <v/>
      </c>
      <c r="T224" s="189" t="str">
        <f t="shared" si="36"/>
        <v/>
      </c>
      <c r="U224" s="189" t="str">
        <f t="shared" si="36"/>
        <v/>
      </c>
      <c r="V224" s="60">
        <f t="shared" si="44"/>
        <v>46425</v>
      </c>
      <c r="W224" s="121">
        <f t="shared" si="37"/>
        <v>1</v>
      </c>
      <c r="AD224" s="60">
        <f t="shared" si="46"/>
        <v>46425</v>
      </c>
      <c r="AE224">
        <f t="shared" si="38"/>
        <v>88</v>
      </c>
      <c r="AF224">
        <f t="shared" si="39"/>
        <v>88</v>
      </c>
      <c r="AG224">
        <f t="shared" si="40"/>
        <v>78</v>
      </c>
      <c r="AH224">
        <f t="shared" si="41"/>
        <v>78</v>
      </c>
      <c r="AI224">
        <f t="shared" si="42"/>
        <v>78</v>
      </c>
      <c r="AJ224"/>
    </row>
    <row r="225" spans="15:36" x14ac:dyDescent="0.25">
      <c r="O225" s="60">
        <f t="shared" si="45"/>
        <v>46426</v>
      </c>
      <c r="P225" s="121">
        <f t="shared" si="43"/>
        <v>2</v>
      </c>
      <c r="Q225" s="189">
        <f t="shared" si="36"/>
        <v>1</v>
      </c>
      <c r="R225" s="189">
        <f t="shared" si="36"/>
        <v>1</v>
      </c>
      <c r="S225" s="189">
        <f t="shared" si="36"/>
        <v>1</v>
      </c>
      <c r="T225" s="189">
        <f t="shared" si="36"/>
        <v>1</v>
      </c>
      <c r="U225" s="189">
        <f t="shared" si="36"/>
        <v>1</v>
      </c>
      <c r="V225" s="60">
        <f t="shared" si="44"/>
        <v>46426</v>
      </c>
      <c r="W225" s="121">
        <f t="shared" si="37"/>
        <v>2</v>
      </c>
      <c r="AC225" t="s">
        <v>261</v>
      </c>
      <c r="AD225" s="60">
        <f t="shared" si="46"/>
        <v>46426</v>
      </c>
      <c r="AE225">
        <f t="shared" si="38"/>
        <v>87</v>
      </c>
      <c r="AF225">
        <f t="shared" si="39"/>
        <v>87</v>
      </c>
      <c r="AG225">
        <f t="shared" si="40"/>
        <v>77</v>
      </c>
      <c r="AH225">
        <f t="shared" si="41"/>
        <v>77</v>
      </c>
      <c r="AI225">
        <f t="shared" si="42"/>
        <v>77</v>
      </c>
      <c r="AJ225"/>
    </row>
    <row r="226" spans="15:36" x14ac:dyDescent="0.25">
      <c r="O226" s="60">
        <f t="shared" si="45"/>
        <v>46427</v>
      </c>
      <c r="P226" s="121">
        <f t="shared" si="43"/>
        <v>3</v>
      </c>
      <c r="Q226" s="189">
        <f t="shared" si="36"/>
        <v>1</v>
      </c>
      <c r="R226" s="189">
        <f t="shared" si="36"/>
        <v>1</v>
      </c>
      <c r="S226" s="189">
        <f t="shared" si="36"/>
        <v>1</v>
      </c>
      <c r="T226" s="189">
        <f t="shared" si="36"/>
        <v>1</v>
      </c>
      <c r="U226" s="189">
        <f t="shared" si="36"/>
        <v>1</v>
      </c>
      <c r="V226" s="60">
        <f t="shared" si="44"/>
        <v>46427</v>
      </c>
      <c r="W226" s="121">
        <f t="shared" si="37"/>
        <v>3</v>
      </c>
      <c r="AC226" t="s">
        <v>264</v>
      </c>
      <c r="AD226" s="60">
        <f t="shared" si="46"/>
        <v>46427</v>
      </c>
      <c r="AE226">
        <f t="shared" si="38"/>
        <v>86</v>
      </c>
      <c r="AF226">
        <f t="shared" si="39"/>
        <v>86</v>
      </c>
      <c r="AG226">
        <f t="shared" si="40"/>
        <v>76</v>
      </c>
      <c r="AH226">
        <f t="shared" si="41"/>
        <v>76</v>
      </c>
      <c r="AI226">
        <f t="shared" si="42"/>
        <v>76</v>
      </c>
      <c r="AJ226"/>
    </row>
    <row r="227" spans="15:36" x14ac:dyDescent="0.25">
      <c r="O227" s="60">
        <f t="shared" si="45"/>
        <v>46428</v>
      </c>
      <c r="P227" s="121">
        <f t="shared" si="43"/>
        <v>4</v>
      </c>
      <c r="Q227" s="189">
        <f t="shared" si="36"/>
        <v>1</v>
      </c>
      <c r="R227" s="189">
        <f t="shared" si="36"/>
        <v>1</v>
      </c>
      <c r="S227" s="189">
        <f t="shared" si="36"/>
        <v>1</v>
      </c>
      <c r="T227" s="189">
        <f t="shared" si="36"/>
        <v>1</v>
      </c>
      <c r="U227" s="189">
        <f t="shared" si="36"/>
        <v>1</v>
      </c>
      <c r="V227" s="60">
        <f t="shared" si="44"/>
        <v>46428</v>
      </c>
      <c r="W227" s="121">
        <f t="shared" si="37"/>
        <v>4</v>
      </c>
      <c r="Z227" t="s">
        <v>191</v>
      </c>
      <c r="AA227" t="s">
        <v>191</v>
      </c>
      <c r="AC227" t="s">
        <v>261</v>
      </c>
      <c r="AD227" s="60">
        <f t="shared" si="46"/>
        <v>46428</v>
      </c>
      <c r="AE227">
        <f t="shared" si="38"/>
        <v>85</v>
      </c>
      <c r="AF227">
        <f t="shared" si="39"/>
        <v>85</v>
      </c>
      <c r="AG227">
        <f t="shared" si="40"/>
        <v>75</v>
      </c>
      <c r="AH227">
        <f t="shared" si="41"/>
        <v>75</v>
      </c>
      <c r="AI227">
        <f t="shared" si="42"/>
        <v>75</v>
      </c>
      <c r="AJ227"/>
    </row>
    <row r="228" spans="15:36" x14ac:dyDescent="0.25">
      <c r="O228" s="60">
        <f t="shared" si="45"/>
        <v>46429</v>
      </c>
      <c r="P228" s="121">
        <f t="shared" si="43"/>
        <v>5</v>
      </c>
      <c r="Q228" s="189">
        <f t="shared" si="36"/>
        <v>1</v>
      </c>
      <c r="R228" s="189">
        <f t="shared" si="36"/>
        <v>1</v>
      </c>
      <c r="S228" s="189">
        <f t="shared" si="36"/>
        <v>1</v>
      </c>
      <c r="T228" s="189">
        <f t="shared" si="36"/>
        <v>1</v>
      </c>
      <c r="U228" s="189">
        <f t="shared" si="36"/>
        <v>1</v>
      </c>
      <c r="V228" s="60">
        <f t="shared" si="44"/>
        <v>46429</v>
      </c>
      <c r="W228" s="121">
        <f t="shared" si="37"/>
        <v>5</v>
      </c>
      <c r="Z228" t="s">
        <v>191</v>
      </c>
      <c r="AA228" t="s">
        <v>191</v>
      </c>
      <c r="AC228" t="s">
        <v>264</v>
      </c>
      <c r="AD228" s="60">
        <f t="shared" si="46"/>
        <v>46429</v>
      </c>
      <c r="AE228">
        <f t="shared" si="38"/>
        <v>84</v>
      </c>
      <c r="AF228">
        <f t="shared" si="39"/>
        <v>84</v>
      </c>
      <c r="AG228">
        <f t="shared" si="40"/>
        <v>74</v>
      </c>
      <c r="AH228">
        <f t="shared" si="41"/>
        <v>74</v>
      </c>
      <c r="AI228">
        <f t="shared" si="42"/>
        <v>74</v>
      </c>
      <c r="AJ228"/>
    </row>
    <row r="229" spans="15:36" x14ac:dyDescent="0.25">
      <c r="O229" s="60">
        <f t="shared" si="45"/>
        <v>46430</v>
      </c>
      <c r="P229" s="121">
        <f t="shared" si="43"/>
        <v>6</v>
      </c>
      <c r="Q229" s="189">
        <f t="shared" si="36"/>
        <v>1</v>
      </c>
      <c r="R229" s="189">
        <f t="shared" si="36"/>
        <v>1</v>
      </c>
      <c r="S229" s="189">
        <f t="shared" si="36"/>
        <v>1</v>
      </c>
      <c r="T229" s="189">
        <f t="shared" si="36"/>
        <v>1</v>
      </c>
      <c r="U229" s="189">
        <f t="shared" si="36"/>
        <v>1</v>
      </c>
      <c r="V229" s="60">
        <f t="shared" si="44"/>
        <v>46430</v>
      </c>
      <c r="W229" s="121">
        <f t="shared" si="37"/>
        <v>6</v>
      </c>
      <c r="X229" t="s">
        <v>574</v>
      </c>
      <c r="Y229" t="s">
        <v>574</v>
      </c>
      <c r="Z229" t="s">
        <v>574</v>
      </c>
      <c r="AA229" t="s">
        <v>574</v>
      </c>
      <c r="AB229" t="s">
        <v>574</v>
      </c>
      <c r="AD229" s="60">
        <f t="shared" si="46"/>
        <v>46430</v>
      </c>
      <c r="AE229">
        <f t="shared" si="38"/>
        <v>83</v>
      </c>
      <c r="AF229">
        <f t="shared" si="39"/>
        <v>83</v>
      </c>
      <c r="AG229">
        <f t="shared" si="40"/>
        <v>73</v>
      </c>
      <c r="AH229">
        <f t="shared" si="41"/>
        <v>73</v>
      </c>
      <c r="AI229">
        <f t="shared" si="42"/>
        <v>73</v>
      </c>
      <c r="AJ229"/>
    </row>
    <row r="230" spans="15:36" x14ac:dyDescent="0.25">
      <c r="O230" s="60">
        <f t="shared" si="45"/>
        <v>46431</v>
      </c>
      <c r="P230" s="121">
        <f t="shared" si="43"/>
        <v>7</v>
      </c>
      <c r="Q230" s="189" t="str">
        <f t="shared" si="36"/>
        <v/>
      </c>
      <c r="R230" s="189" t="str">
        <f t="shared" si="36"/>
        <v/>
      </c>
      <c r="S230" s="189" t="str">
        <f t="shared" si="36"/>
        <v/>
      </c>
      <c r="T230" s="189" t="str">
        <f t="shared" si="36"/>
        <v/>
      </c>
      <c r="U230" s="189" t="str">
        <f t="shared" si="36"/>
        <v/>
      </c>
      <c r="V230" s="60">
        <f t="shared" si="44"/>
        <v>46431</v>
      </c>
      <c r="W230" s="121">
        <f t="shared" si="37"/>
        <v>7</v>
      </c>
      <c r="AD230" s="60">
        <f t="shared" si="46"/>
        <v>46431</v>
      </c>
      <c r="AE230">
        <f t="shared" si="38"/>
        <v>83</v>
      </c>
      <c r="AF230">
        <f t="shared" si="39"/>
        <v>83</v>
      </c>
      <c r="AG230">
        <f t="shared" si="40"/>
        <v>73</v>
      </c>
      <c r="AH230">
        <f t="shared" si="41"/>
        <v>73</v>
      </c>
      <c r="AI230">
        <f t="shared" si="42"/>
        <v>73</v>
      </c>
      <c r="AJ230"/>
    </row>
    <row r="231" spans="15:36" x14ac:dyDescent="0.25">
      <c r="O231" s="60">
        <f t="shared" si="45"/>
        <v>46432</v>
      </c>
      <c r="P231" s="121">
        <f t="shared" si="43"/>
        <v>1</v>
      </c>
      <c r="Q231" s="189" t="str">
        <f t="shared" si="36"/>
        <v/>
      </c>
      <c r="R231" s="189" t="str">
        <f t="shared" si="36"/>
        <v/>
      </c>
      <c r="S231" s="189" t="str">
        <f t="shared" si="36"/>
        <v/>
      </c>
      <c r="T231" s="189" t="str">
        <f t="shared" si="36"/>
        <v/>
      </c>
      <c r="U231" s="189" t="str">
        <f t="shared" si="36"/>
        <v/>
      </c>
      <c r="V231" s="60">
        <f t="shared" si="44"/>
        <v>46432</v>
      </c>
      <c r="W231" s="121">
        <f t="shared" si="37"/>
        <v>1</v>
      </c>
      <c r="AD231" s="60">
        <f t="shared" si="46"/>
        <v>46432</v>
      </c>
      <c r="AE231">
        <f t="shared" si="38"/>
        <v>83</v>
      </c>
      <c r="AF231">
        <f t="shared" si="39"/>
        <v>83</v>
      </c>
      <c r="AG231">
        <f t="shared" si="40"/>
        <v>73</v>
      </c>
      <c r="AH231">
        <f t="shared" si="41"/>
        <v>73</v>
      </c>
      <c r="AI231">
        <f t="shared" si="42"/>
        <v>73</v>
      </c>
      <c r="AJ231"/>
    </row>
    <row r="232" spans="15:36" x14ac:dyDescent="0.25">
      <c r="O232" s="60">
        <f t="shared" si="45"/>
        <v>46433</v>
      </c>
      <c r="P232" s="121">
        <f t="shared" si="43"/>
        <v>2</v>
      </c>
      <c r="Q232" s="189" t="s">
        <v>190</v>
      </c>
      <c r="R232" s="189" t="s">
        <v>190</v>
      </c>
      <c r="S232" s="189" t="s">
        <v>190</v>
      </c>
      <c r="T232" s="189" t="s">
        <v>190</v>
      </c>
      <c r="U232" s="189" t="s">
        <v>190</v>
      </c>
      <c r="V232" s="60">
        <f t="shared" si="44"/>
        <v>46433</v>
      </c>
      <c r="W232" s="121">
        <f t="shared" si="37"/>
        <v>2</v>
      </c>
      <c r="AD232" s="60">
        <f t="shared" si="46"/>
        <v>46433</v>
      </c>
      <c r="AE232">
        <f t="shared" si="38"/>
        <v>83</v>
      </c>
      <c r="AF232">
        <f t="shared" si="39"/>
        <v>83</v>
      </c>
      <c r="AG232">
        <f t="shared" si="40"/>
        <v>73</v>
      </c>
      <c r="AH232">
        <f t="shared" si="41"/>
        <v>73</v>
      </c>
      <c r="AI232">
        <f t="shared" si="42"/>
        <v>73</v>
      </c>
      <c r="AJ232"/>
    </row>
    <row r="233" spans="15:36" x14ac:dyDescent="0.25">
      <c r="O233" s="60">
        <f t="shared" si="45"/>
        <v>46434</v>
      </c>
      <c r="P233" s="121">
        <f t="shared" si="43"/>
        <v>3</v>
      </c>
      <c r="Q233" s="189">
        <f t="shared" si="36"/>
        <v>1</v>
      </c>
      <c r="R233" s="189">
        <f t="shared" si="36"/>
        <v>1</v>
      </c>
      <c r="S233" s="189">
        <f t="shared" si="36"/>
        <v>1</v>
      </c>
      <c r="T233" s="189">
        <f t="shared" si="36"/>
        <v>1</v>
      </c>
      <c r="U233" s="189">
        <f t="shared" si="36"/>
        <v>1</v>
      </c>
      <c r="V233" s="60">
        <f t="shared" si="44"/>
        <v>46434</v>
      </c>
      <c r="W233" s="121">
        <f t="shared" si="37"/>
        <v>3</v>
      </c>
      <c r="AC233" t="s">
        <v>261</v>
      </c>
      <c r="AD233" s="60">
        <f t="shared" si="46"/>
        <v>46434</v>
      </c>
      <c r="AE233">
        <f t="shared" si="38"/>
        <v>82</v>
      </c>
      <c r="AF233">
        <f t="shared" si="39"/>
        <v>82</v>
      </c>
      <c r="AG233">
        <f t="shared" si="40"/>
        <v>72</v>
      </c>
      <c r="AH233">
        <f t="shared" si="41"/>
        <v>72</v>
      </c>
      <c r="AI233">
        <f t="shared" si="42"/>
        <v>72</v>
      </c>
      <c r="AJ233"/>
    </row>
    <row r="234" spans="15:36" x14ac:dyDescent="0.25">
      <c r="O234" s="60">
        <f t="shared" si="45"/>
        <v>46435</v>
      </c>
      <c r="P234" s="121">
        <f t="shared" si="43"/>
        <v>4</v>
      </c>
      <c r="Q234" s="189">
        <f t="shared" si="36"/>
        <v>1</v>
      </c>
      <c r="R234" s="189">
        <f t="shared" si="36"/>
        <v>1</v>
      </c>
      <c r="S234" s="189">
        <f t="shared" si="36"/>
        <v>1</v>
      </c>
      <c r="T234" s="189">
        <f t="shared" si="36"/>
        <v>1</v>
      </c>
      <c r="U234" s="189">
        <f t="shared" si="36"/>
        <v>1</v>
      </c>
      <c r="V234" s="60">
        <f t="shared" si="44"/>
        <v>46435</v>
      </c>
      <c r="W234" s="121">
        <f t="shared" si="37"/>
        <v>4</v>
      </c>
      <c r="AC234" t="s">
        <v>264</v>
      </c>
      <c r="AD234" s="60">
        <f t="shared" si="46"/>
        <v>46435</v>
      </c>
      <c r="AE234">
        <f t="shared" si="38"/>
        <v>81</v>
      </c>
      <c r="AF234">
        <f t="shared" si="39"/>
        <v>81</v>
      </c>
      <c r="AG234">
        <f t="shared" si="40"/>
        <v>71</v>
      </c>
      <c r="AH234">
        <f t="shared" si="41"/>
        <v>71</v>
      </c>
      <c r="AI234">
        <f t="shared" si="42"/>
        <v>71</v>
      </c>
      <c r="AJ234"/>
    </row>
    <row r="235" spans="15:36" x14ac:dyDescent="0.25">
      <c r="O235" s="60">
        <f t="shared" si="45"/>
        <v>46436</v>
      </c>
      <c r="P235" s="121">
        <f t="shared" si="43"/>
        <v>5</v>
      </c>
      <c r="Q235" s="189">
        <f t="shared" si="36"/>
        <v>1</v>
      </c>
      <c r="R235" s="189">
        <f t="shared" si="36"/>
        <v>1</v>
      </c>
      <c r="S235" s="189">
        <f t="shared" si="36"/>
        <v>1</v>
      </c>
      <c r="T235" s="189">
        <f t="shared" si="36"/>
        <v>1</v>
      </c>
      <c r="U235" s="189">
        <f t="shared" si="36"/>
        <v>1</v>
      </c>
      <c r="V235" s="60">
        <f t="shared" si="44"/>
        <v>46436</v>
      </c>
      <c r="W235" s="121">
        <f t="shared" si="37"/>
        <v>5</v>
      </c>
      <c r="AC235" t="s">
        <v>261</v>
      </c>
      <c r="AD235" s="60">
        <f t="shared" si="46"/>
        <v>46436</v>
      </c>
      <c r="AE235">
        <f t="shared" si="38"/>
        <v>80</v>
      </c>
      <c r="AF235">
        <f t="shared" si="39"/>
        <v>80</v>
      </c>
      <c r="AG235">
        <f t="shared" si="40"/>
        <v>70</v>
      </c>
      <c r="AH235">
        <f t="shared" si="41"/>
        <v>70</v>
      </c>
      <c r="AI235">
        <f t="shared" si="42"/>
        <v>70</v>
      </c>
      <c r="AJ235"/>
    </row>
    <row r="236" spans="15:36" x14ac:dyDescent="0.25">
      <c r="O236" s="60">
        <f t="shared" si="45"/>
        <v>46437</v>
      </c>
      <c r="P236" s="121">
        <f t="shared" si="43"/>
        <v>6</v>
      </c>
      <c r="Q236" s="189">
        <v>1</v>
      </c>
      <c r="R236" s="189">
        <v>1</v>
      </c>
      <c r="S236" s="189">
        <v>1</v>
      </c>
      <c r="T236" s="189">
        <v>1</v>
      </c>
      <c r="U236" s="189">
        <v>1</v>
      </c>
      <c r="V236" s="60">
        <f t="shared" si="44"/>
        <v>46437</v>
      </c>
      <c r="W236" s="121">
        <f t="shared" si="37"/>
        <v>6</v>
      </c>
      <c r="AC236" t="s">
        <v>264</v>
      </c>
      <c r="AD236" s="60">
        <f t="shared" si="46"/>
        <v>46437</v>
      </c>
      <c r="AE236">
        <f t="shared" si="38"/>
        <v>79</v>
      </c>
      <c r="AF236">
        <f t="shared" si="39"/>
        <v>79</v>
      </c>
      <c r="AG236">
        <f t="shared" si="40"/>
        <v>69</v>
      </c>
      <c r="AH236">
        <f t="shared" si="41"/>
        <v>69</v>
      </c>
      <c r="AI236">
        <f t="shared" si="42"/>
        <v>69</v>
      </c>
      <c r="AJ236"/>
    </row>
    <row r="237" spans="15:36" x14ac:dyDescent="0.25">
      <c r="O237" s="60">
        <f t="shared" si="45"/>
        <v>46438</v>
      </c>
      <c r="P237" s="121">
        <f t="shared" si="43"/>
        <v>7</v>
      </c>
      <c r="Q237" s="189" t="str">
        <f t="shared" si="36"/>
        <v/>
      </c>
      <c r="R237" s="189" t="str">
        <f t="shared" si="36"/>
        <v/>
      </c>
      <c r="S237" s="189" t="str">
        <f t="shared" si="36"/>
        <v/>
      </c>
      <c r="T237" s="189" t="str">
        <f t="shared" si="36"/>
        <v/>
      </c>
      <c r="U237" s="189" t="str">
        <f t="shared" si="36"/>
        <v/>
      </c>
      <c r="V237" s="60">
        <f t="shared" si="44"/>
        <v>46438</v>
      </c>
      <c r="W237" s="121">
        <f t="shared" si="37"/>
        <v>7</v>
      </c>
      <c r="AD237" s="60">
        <f t="shared" si="46"/>
        <v>46438</v>
      </c>
      <c r="AE237">
        <f t="shared" si="38"/>
        <v>79</v>
      </c>
      <c r="AF237">
        <f t="shared" si="39"/>
        <v>79</v>
      </c>
      <c r="AG237">
        <f t="shared" si="40"/>
        <v>69</v>
      </c>
      <c r="AH237">
        <f t="shared" si="41"/>
        <v>69</v>
      </c>
      <c r="AI237">
        <f t="shared" si="42"/>
        <v>69</v>
      </c>
      <c r="AJ237"/>
    </row>
    <row r="238" spans="15:36" x14ac:dyDescent="0.25">
      <c r="O238" s="60">
        <f t="shared" si="45"/>
        <v>46439</v>
      </c>
      <c r="P238" s="121">
        <f t="shared" si="43"/>
        <v>1</v>
      </c>
      <c r="Q238" s="189" t="str">
        <f t="shared" si="36"/>
        <v/>
      </c>
      <c r="R238" s="189" t="str">
        <f t="shared" si="36"/>
        <v/>
      </c>
      <c r="S238" s="189" t="str">
        <f t="shared" si="36"/>
        <v/>
      </c>
      <c r="T238" s="189" t="str">
        <f t="shared" si="36"/>
        <v/>
      </c>
      <c r="U238" s="189" t="str">
        <f t="shared" si="36"/>
        <v/>
      </c>
      <c r="V238" s="60">
        <f t="shared" si="44"/>
        <v>46439</v>
      </c>
      <c r="W238" s="121">
        <f t="shared" si="37"/>
        <v>1</v>
      </c>
      <c r="AD238" s="60">
        <f t="shared" si="46"/>
        <v>46439</v>
      </c>
      <c r="AE238">
        <f t="shared" si="38"/>
        <v>79</v>
      </c>
      <c r="AF238">
        <f t="shared" si="39"/>
        <v>79</v>
      </c>
      <c r="AG238">
        <f t="shared" si="40"/>
        <v>69</v>
      </c>
      <c r="AH238">
        <f t="shared" si="41"/>
        <v>69</v>
      </c>
      <c r="AI238">
        <f t="shared" si="42"/>
        <v>69</v>
      </c>
      <c r="AJ238"/>
    </row>
    <row r="239" spans="15:36" x14ac:dyDescent="0.25">
      <c r="O239" s="60">
        <f t="shared" si="45"/>
        <v>46440</v>
      </c>
      <c r="P239" s="121">
        <f t="shared" si="43"/>
        <v>2</v>
      </c>
      <c r="Q239" s="189">
        <f t="shared" si="36"/>
        <v>1</v>
      </c>
      <c r="R239" s="189">
        <f t="shared" si="36"/>
        <v>1</v>
      </c>
      <c r="S239" s="189">
        <f t="shared" si="36"/>
        <v>1</v>
      </c>
      <c r="T239" s="189">
        <f t="shared" si="36"/>
        <v>1</v>
      </c>
      <c r="U239" s="189">
        <f t="shared" si="36"/>
        <v>1</v>
      </c>
      <c r="V239" s="60">
        <f t="shared" si="44"/>
        <v>46440</v>
      </c>
      <c r="W239" s="121">
        <f t="shared" si="37"/>
        <v>2</v>
      </c>
      <c r="AC239" t="s">
        <v>261</v>
      </c>
      <c r="AD239" s="60">
        <f t="shared" si="46"/>
        <v>46440</v>
      </c>
      <c r="AE239">
        <f t="shared" si="38"/>
        <v>78</v>
      </c>
      <c r="AF239">
        <f t="shared" si="39"/>
        <v>78</v>
      </c>
      <c r="AG239">
        <f t="shared" si="40"/>
        <v>68</v>
      </c>
      <c r="AH239">
        <f t="shared" si="41"/>
        <v>68</v>
      </c>
      <c r="AI239">
        <f t="shared" si="42"/>
        <v>68</v>
      </c>
      <c r="AJ239"/>
    </row>
    <row r="240" spans="15:36" x14ac:dyDescent="0.25">
      <c r="O240" s="60">
        <f t="shared" si="45"/>
        <v>46441</v>
      </c>
      <c r="P240" s="121">
        <f t="shared" si="43"/>
        <v>3</v>
      </c>
      <c r="Q240" s="189">
        <f t="shared" ref="Q240:U290" si="47">IF(OR($P240=2,$P240=3,$P240=4,$P240=5,$P240=6),1,"")</f>
        <v>1</v>
      </c>
      <c r="R240" s="189">
        <f t="shared" si="47"/>
        <v>1</v>
      </c>
      <c r="S240" s="189">
        <f t="shared" si="47"/>
        <v>1</v>
      </c>
      <c r="T240" s="189">
        <f t="shared" si="47"/>
        <v>1</v>
      </c>
      <c r="U240" s="189">
        <f t="shared" si="47"/>
        <v>1</v>
      </c>
      <c r="V240" s="60">
        <f t="shared" si="44"/>
        <v>46441</v>
      </c>
      <c r="W240" s="121">
        <f t="shared" si="37"/>
        <v>3</v>
      </c>
      <c r="AC240" t="s">
        <v>264</v>
      </c>
      <c r="AD240" s="60">
        <f t="shared" si="46"/>
        <v>46441</v>
      </c>
      <c r="AE240">
        <f t="shared" si="38"/>
        <v>77</v>
      </c>
      <c r="AF240">
        <f t="shared" si="39"/>
        <v>77</v>
      </c>
      <c r="AG240">
        <f t="shared" si="40"/>
        <v>67</v>
      </c>
      <c r="AH240">
        <f t="shared" si="41"/>
        <v>67</v>
      </c>
      <c r="AI240">
        <f t="shared" si="42"/>
        <v>67</v>
      </c>
      <c r="AJ240"/>
    </row>
    <row r="241" spans="15:36" x14ac:dyDescent="0.25">
      <c r="O241" s="60">
        <f t="shared" si="45"/>
        <v>46442</v>
      </c>
      <c r="P241" s="121">
        <f t="shared" si="43"/>
        <v>4</v>
      </c>
      <c r="Q241" s="189">
        <f t="shared" si="47"/>
        <v>1</v>
      </c>
      <c r="R241" s="189">
        <f t="shared" si="47"/>
        <v>1</v>
      </c>
      <c r="S241" s="189">
        <f t="shared" si="47"/>
        <v>1</v>
      </c>
      <c r="T241" s="189">
        <f t="shared" si="47"/>
        <v>1</v>
      </c>
      <c r="U241" s="189">
        <f t="shared" si="47"/>
        <v>1</v>
      </c>
      <c r="V241" s="60">
        <f t="shared" si="44"/>
        <v>46442</v>
      </c>
      <c r="W241" s="121">
        <f t="shared" si="37"/>
        <v>4</v>
      </c>
      <c r="AC241" t="s">
        <v>261</v>
      </c>
      <c r="AD241" s="60">
        <f t="shared" si="46"/>
        <v>46442</v>
      </c>
      <c r="AE241">
        <f t="shared" si="38"/>
        <v>76</v>
      </c>
      <c r="AF241">
        <f t="shared" si="39"/>
        <v>76</v>
      </c>
      <c r="AG241">
        <f t="shared" si="40"/>
        <v>66</v>
      </c>
      <c r="AH241">
        <f t="shared" si="41"/>
        <v>66</v>
      </c>
      <c r="AI241">
        <f t="shared" si="42"/>
        <v>66</v>
      </c>
      <c r="AJ241"/>
    </row>
    <row r="242" spans="15:36" x14ac:dyDescent="0.25">
      <c r="O242" s="60">
        <f t="shared" si="45"/>
        <v>46443</v>
      </c>
      <c r="P242" s="121">
        <f t="shared" si="43"/>
        <v>5</v>
      </c>
      <c r="Q242" s="189">
        <f t="shared" si="47"/>
        <v>1</v>
      </c>
      <c r="R242" s="189">
        <f t="shared" si="47"/>
        <v>1</v>
      </c>
      <c r="S242" s="189">
        <f t="shared" si="47"/>
        <v>1</v>
      </c>
      <c r="T242" s="189">
        <f t="shared" si="47"/>
        <v>1</v>
      </c>
      <c r="U242" s="189">
        <f t="shared" si="47"/>
        <v>1</v>
      </c>
      <c r="V242" s="60">
        <f t="shared" si="44"/>
        <v>46443</v>
      </c>
      <c r="W242" s="121">
        <f t="shared" si="37"/>
        <v>5</v>
      </c>
      <c r="AC242" t="s">
        <v>264</v>
      </c>
      <c r="AD242" s="60">
        <f t="shared" si="46"/>
        <v>46443</v>
      </c>
      <c r="AE242">
        <f t="shared" si="38"/>
        <v>75</v>
      </c>
      <c r="AF242">
        <f t="shared" si="39"/>
        <v>75</v>
      </c>
      <c r="AG242">
        <f t="shared" si="40"/>
        <v>65</v>
      </c>
      <c r="AH242">
        <f t="shared" si="41"/>
        <v>65</v>
      </c>
      <c r="AI242">
        <f t="shared" si="42"/>
        <v>65</v>
      </c>
      <c r="AJ242"/>
    </row>
    <row r="243" spans="15:36" x14ac:dyDescent="0.25">
      <c r="O243" s="60">
        <f t="shared" si="45"/>
        <v>46444</v>
      </c>
      <c r="P243" s="121">
        <f t="shared" si="43"/>
        <v>6</v>
      </c>
      <c r="Q243" s="189">
        <f t="shared" si="47"/>
        <v>1</v>
      </c>
      <c r="R243" s="189">
        <f t="shared" si="47"/>
        <v>1</v>
      </c>
      <c r="S243" s="189">
        <f t="shared" si="47"/>
        <v>1</v>
      </c>
      <c r="T243" s="189">
        <f t="shared" si="47"/>
        <v>1</v>
      </c>
      <c r="U243" s="189">
        <f t="shared" si="47"/>
        <v>1</v>
      </c>
      <c r="V243" s="60">
        <f t="shared" si="44"/>
        <v>46444</v>
      </c>
      <c r="W243" s="121">
        <f t="shared" si="37"/>
        <v>6</v>
      </c>
      <c r="AC243" t="s">
        <v>261</v>
      </c>
      <c r="AD243" s="60">
        <f t="shared" si="46"/>
        <v>46444</v>
      </c>
      <c r="AE243">
        <f t="shared" si="38"/>
        <v>74</v>
      </c>
      <c r="AF243">
        <f t="shared" si="39"/>
        <v>74</v>
      </c>
      <c r="AG243">
        <f t="shared" si="40"/>
        <v>64</v>
      </c>
      <c r="AH243">
        <f t="shared" si="41"/>
        <v>64</v>
      </c>
      <c r="AI243">
        <f t="shared" si="42"/>
        <v>64</v>
      </c>
      <c r="AJ243"/>
    </row>
    <row r="244" spans="15:36" x14ac:dyDescent="0.25">
      <c r="O244" s="60">
        <f t="shared" si="45"/>
        <v>46445</v>
      </c>
      <c r="P244" s="121">
        <f t="shared" si="43"/>
        <v>7</v>
      </c>
      <c r="Q244" s="189" t="str">
        <f t="shared" si="47"/>
        <v/>
      </c>
      <c r="R244" s="189" t="str">
        <f t="shared" si="47"/>
        <v/>
      </c>
      <c r="S244" s="189" t="str">
        <f t="shared" si="47"/>
        <v/>
      </c>
      <c r="T244" s="189" t="str">
        <f t="shared" si="47"/>
        <v/>
      </c>
      <c r="U244" s="189" t="str">
        <f t="shared" si="47"/>
        <v/>
      </c>
      <c r="V244" s="60">
        <f t="shared" si="44"/>
        <v>46445</v>
      </c>
      <c r="W244" s="121">
        <f t="shared" si="37"/>
        <v>7</v>
      </c>
      <c r="AD244" s="60">
        <f t="shared" si="46"/>
        <v>46445</v>
      </c>
      <c r="AE244">
        <f t="shared" si="38"/>
        <v>74</v>
      </c>
      <c r="AF244">
        <f t="shared" si="39"/>
        <v>74</v>
      </c>
      <c r="AG244">
        <f t="shared" si="40"/>
        <v>64</v>
      </c>
      <c r="AH244">
        <f t="shared" si="41"/>
        <v>64</v>
      </c>
      <c r="AI244">
        <f t="shared" si="42"/>
        <v>64</v>
      </c>
      <c r="AJ244"/>
    </row>
    <row r="245" spans="15:36" x14ac:dyDescent="0.25">
      <c r="O245" s="60">
        <f t="shared" si="45"/>
        <v>46446</v>
      </c>
      <c r="P245" s="121">
        <f t="shared" si="43"/>
        <v>1</v>
      </c>
      <c r="Q245" s="189" t="str">
        <f t="shared" si="47"/>
        <v/>
      </c>
      <c r="R245" s="189" t="str">
        <f t="shared" si="47"/>
        <v/>
      </c>
      <c r="S245" s="189" t="str">
        <f t="shared" si="47"/>
        <v/>
      </c>
      <c r="T245" s="189" t="str">
        <f t="shared" si="47"/>
        <v/>
      </c>
      <c r="U245" s="189" t="str">
        <f t="shared" si="47"/>
        <v/>
      </c>
      <c r="V245" s="60">
        <f t="shared" si="44"/>
        <v>46446</v>
      </c>
      <c r="W245" s="121">
        <f t="shared" si="37"/>
        <v>1</v>
      </c>
      <c r="AD245" s="60">
        <f t="shared" si="46"/>
        <v>46446</v>
      </c>
      <c r="AE245">
        <f t="shared" si="38"/>
        <v>74</v>
      </c>
      <c r="AF245">
        <f t="shared" si="39"/>
        <v>74</v>
      </c>
      <c r="AG245">
        <f t="shared" si="40"/>
        <v>64</v>
      </c>
      <c r="AH245">
        <f t="shared" si="41"/>
        <v>64</v>
      </c>
      <c r="AI245">
        <f t="shared" si="42"/>
        <v>64</v>
      </c>
      <c r="AJ245"/>
    </row>
    <row r="246" spans="15:36" x14ac:dyDescent="0.25">
      <c r="O246" s="60">
        <f t="shared" si="45"/>
        <v>46447</v>
      </c>
      <c r="P246" s="121">
        <f t="shared" si="43"/>
        <v>2</v>
      </c>
      <c r="Q246" s="189">
        <f t="shared" si="47"/>
        <v>1</v>
      </c>
      <c r="R246" s="189">
        <f t="shared" si="47"/>
        <v>1</v>
      </c>
      <c r="S246" s="189">
        <f t="shared" si="47"/>
        <v>1</v>
      </c>
      <c r="T246" s="189">
        <f t="shared" si="47"/>
        <v>1</v>
      </c>
      <c r="U246" s="189">
        <f t="shared" si="47"/>
        <v>1</v>
      </c>
      <c r="V246" s="60">
        <f t="shared" si="44"/>
        <v>46447</v>
      </c>
      <c r="W246" s="121">
        <f t="shared" si="37"/>
        <v>2</v>
      </c>
      <c r="AC246" t="s">
        <v>264</v>
      </c>
      <c r="AD246" s="60">
        <f t="shared" si="46"/>
        <v>46447</v>
      </c>
      <c r="AE246">
        <f t="shared" si="38"/>
        <v>73</v>
      </c>
      <c r="AF246">
        <f t="shared" si="39"/>
        <v>73</v>
      </c>
      <c r="AG246">
        <f t="shared" si="40"/>
        <v>63</v>
      </c>
      <c r="AH246">
        <f t="shared" si="41"/>
        <v>63</v>
      </c>
      <c r="AI246">
        <f t="shared" si="42"/>
        <v>63</v>
      </c>
      <c r="AJ246"/>
    </row>
    <row r="247" spans="15:36" x14ac:dyDescent="0.25">
      <c r="O247" s="60">
        <f t="shared" si="45"/>
        <v>46448</v>
      </c>
      <c r="P247" s="121">
        <f t="shared" si="43"/>
        <v>3</v>
      </c>
      <c r="Q247" s="189">
        <f t="shared" si="47"/>
        <v>1</v>
      </c>
      <c r="R247" s="189">
        <f t="shared" si="47"/>
        <v>1</v>
      </c>
      <c r="S247" s="189">
        <f t="shared" si="47"/>
        <v>1</v>
      </c>
      <c r="T247" s="189">
        <f t="shared" si="47"/>
        <v>1</v>
      </c>
      <c r="U247" s="189">
        <f t="shared" si="47"/>
        <v>1</v>
      </c>
      <c r="V247" s="60">
        <f t="shared" si="44"/>
        <v>46448</v>
      </c>
      <c r="W247" s="121">
        <f t="shared" si="37"/>
        <v>3</v>
      </c>
      <c r="AC247" t="s">
        <v>261</v>
      </c>
      <c r="AD247" s="60">
        <f t="shared" si="46"/>
        <v>46448</v>
      </c>
      <c r="AE247">
        <f t="shared" si="38"/>
        <v>72</v>
      </c>
      <c r="AF247">
        <f t="shared" si="39"/>
        <v>72</v>
      </c>
      <c r="AG247">
        <f t="shared" si="40"/>
        <v>62</v>
      </c>
      <c r="AH247">
        <f t="shared" si="41"/>
        <v>62</v>
      </c>
      <c r="AI247">
        <f t="shared" si="42"/>
        <v>62</v>
      </c>
      <c r="AJ247"/>
    </row>
    <row r="248" spans="15:36" x14ac:dyDescent="0.25">
      <c r="O248" s="60">
        <f t="shared" si="45"/>
        <v>46449</v>
      </c>
      <c r="P248" s="121">
        <f t="shared" si="43"/>
        <v>4</v>
      </c>
      <c r="Q248" s="189">
        <f t="shared" si="47"/>
        <v>1</v>
      </c>
      <c r="R248" s="189">
        <f t="shared" si="47"/>
        <v>1</v>
      </c>
      <c r="S248" s="189">
        <f t="shared" si="47"/>
        <v>1</v>
      </c>
      <c r="T248" s="189">
        <f t="shared" si="47"/>
        <v>1</v>
      </c>
      <c r="U248" s="189">
        <f t="shared" si="47"/>
        <v>1</v>
      </c>
      <c r="V248" s="60">
        <f t="shared" si="44"/>
        <v>46449</v>
      </c>
      <c r="W248" s="121">
        <f t="shared" si="37"/>
        <v>4</v>
      </c>
      <c r="AC248" t="s">
        <v>264</v>
      </c>
      <c r="AD248" s="60">
        <f t="shared" si="46"/>
        <v>46449</v>
      </c>
      <c r="AE248">
        <f t="shared" si="38"/>
        <v>71</v>
      </c>
      <c r="AF248">
        <f t="shared" si="39"/>
        <v>71</v>
      </c>
      <c r="AG248">
        <f t="shared" si="40"/>
        <v>61</v>
      </c>
      <c r="AH248">
        <f t="shared" si="41"/>
        <v>61</v>
      </c>
      <c r="AI248">
        <f t="shared" si="42"/>
        <v>61</v>
      </c>
      <c r="AJ248"/>
    </row>
    <row r="249" spans="15:36" x14ac:dyDescent="0.25">
      <c r="O249" s="60">
        <f t="shared" si="45"/>
        <v>46450</v>
      </c>
      <c r="P249" s="121">
        <f t="shared" si="43"/>
        <v>5</v>
      </c>
      <c r="Q249" s="189">
        <f t="shared" si="47"/>
        <v>1</v>
      </c>
      <c r="R249" s="189">
        <f t="shared" si="47"/>
        <v>1</v>
      </c>
      <c r="S249" s="189">
        <f t="shared" si="47"/>
        <v>1</v>
      </c>
      <c r="T249" s="189">
        <f t="shared" si="47"/>
        <v>1</v>
      </c>
      <c r="U249" s="189">
        <f t="shared" si="47"/>
        <v>1</v>
      </c>
      <c r="V249" s="60">
        <f t="shared" si="44"/>
        <v>46450</v>
      </c>
      <c r="W249" s="121">
        <f t="shared" si="37"/>
        <v>5</v>
      </c>
      <c r="AC249" t="s">
        <v>261</v>
      </c>
      <c r="AD249" s="60">
        <f t="shared" si="46"/>
        <v>46450</v>
      </c>
      <c r="AE249">
        <f t="shared" si="38"/>
        <v>70</v>
      </c>
      <c r="AF249">
        <f t="shared" si="39"/>
        <v>70</v>
      </c>
      <c r="AG249">
        <f t="shared" si="40"/>
        <v>60</v>
      </c>
      <c r="AH249">
        <f t="shared" si="41"/>
        <v>60</v>
      </c>
      <c r="AI249">
        <f t="shared" si="42"/>
        <v>60</v>
      </c>
      <c r="AJ249"/>
    </row>
    <row r="250" spans="15:36" x14ac:dyDescent="0.25">
      <c r="O250" s="60">
        <f t="shared" si="45"/>
        <v>46451</v>
      </c>
      <c r="P250" s="121">
        <f t="shared" si="43"/>
        <v>6</v>
      </c>
      <c r="Q250" s="189">
        <f t="shared" si="47"/>
        <v>1</v>
      </c>
      <c r="R250" s="189">
        <f t="shared" si="47"/>
        <v>1</v>
      </c>
      <c r="S250" s="189">
        <f t="shared" si="47"/>
        <v>1</v>
      </c>
      <c r="T250" s="189">
        <f t="shared" si="47"/>
        <v>1</v>
      </c>
      <c r="U250" s="189">
        <f t="shared" si="47"/>
        <v>1</v>
      </c>
      <c r="V250" s="60">
        <f t="shared" si="44"/>
        <v>46451</v>
      </c>
      <c r="W250" s="121">
        <f t="shared" si="37"/>
        <v>6</v>
      </c>
      <c r="AC250" t="s">
        <v>264</v>
      </c>
      <c r="AD250" s="60">
        <f t="shared" si="46"/>
        <v>46451</v>
      </c>
      <c r="AE250">
        <f t="shared" si="38"/>
        <v>69</v>
      </c>
      <c r="AF250">
        <f t="shared" si="39"/>
        <v>69</v>
      </c>
      <c r="AG250">
        <f t="shared" si="40"/>
        <v>59</v>
      </c>
      <c r="AH250">
        <f t="shared" si="41"/>
        <v>59</v>
      </c>
      <c r="AI250">
        <f t="shared" si="42"/>
        <v>59</v>
      </c>
      <c r="AJ250"/>
    </row>
    <row r="251" spans="15:36" x14ac:dyDescent="0.25">
      <c r="O251" s="60">
        <f t="shared" si="45"/>
        <v>46452</v>
      </c>
      <c r="P251" s="121">
        <f t="shared" si="43"/>
        <v>7</v>
      </c>
      <c r="Q251" s="189" t="str">
        <f t="shared" si="47"/>
        <v/>
      </c>
      <c r="R251" s="189" t="str">
        <f t="shared" si="47"/>
        <v/>
      </c>
      <c r="S251" s="189" t="str">
        <f t="shared" si="47"/>
        <v/>
      </c>
      <c r="T251" s="189" t="str">
        <f t="shared" si="47"/>
        <v/>
      </c>
      <c r="U251" s="189" t="str">
        <f t="shared" si="47"/>
        <v/>
      </c>
      <c r="V251" s="60">
        <f t="shared" si="44"/>
        <v>46452</v>
      </c>
      <c r="W251" s="121">
        <f t="shared" si="37"/>
        <v>7</v>
      </c>
      <c r="AD251" s="60">
        <f t="shared" si="46"/>
        <v>46452</v>
      </c>
      <c r="AE251">
        <f t="shared" si="38"/>
        <v>69</v>
      </c>
      <c r="AF251">
        <f t="shared" si="39"/>
        <v>69</v>
      </c>
      <c r="AG251">
        <f t="shared" si="40"/>
        <v>59</v>
      </c>
      <c r="AH251">
        <f t="shared" si="41"/>
        <v>59</v>
      </c>
      <c r="AI251">
        <f t="shared" si="42"/>
        <v>59</v>
      </c>
      <c r="AJ251"/>
    </row>
    <row r="252" spans="15:36" x14ac:dyDescent="0.25">
      <c r="O252" s="60">
        <f t="shared" si="45"/>
        <v>46453</v>
      </c>
      <c r="P252" s="121">
        <f t="shared" si="43"/>
        <v>1</v>
      </c>
      <c r="Q252" s="189" t="str">
        <f t="shared" si="47"/>
        <v/>
      </c>
      <c r="R252" s="189" t="str">
        <f t="shared" si="47"/>
        <v/>
      </c>
      <c r="S252" s="189" t="str">
        <f t="shared" si="47"/>
        <v/>
      </c>
      <c r="T252" s="189" t="str">
        <f t="shared" si="47"/>
        <v/>
      </c>
      <c r="U252" s="189" t="str">
        <f t="shared" si="47"/>
        <v/>
      </c>
      <c r="V252" s="60">
        <f t="shared" si="44"/>
        <v>46453</v>
      </c>
      <c r="W252" s="121">
        <f t="shared" si="37"/>
        <v>1</v>
      </c>
      <c r="AD252" s="60">
        <f t="shared" si="46"/>
        <v>46453</v>
      </c>
      <c r="AE252">
        <f t="shared" si="38"/>
        <v>69</v>
      </c>
      <c r="AF252">
        <f t="shared" si="39"/>
        <v>69</v>
      </c>
      <c r="AG252">
        <f t="shared" si="40"/>
        <v>59</v>
      </c>
      <c r="AH252">
        <f t="shared" si="41"/>
        <v>59</v>
      </c>
      <c r="AI252">
        <f t="shared" si="42"/>
        <v>59</v>
      </c>
      <c r="AJ252"/>
    </row>
    <row r="253" spans="15:36" x14ac:dyDescent="0.25">
      <c r="O253" s="60">
        <f t="shared" si="45"/>
        <v>46454</v>
      </c>
      <c r="P253" s="121">
        <f t="shared" si="43"/>
        <v>2</v>
      </c>
      <c r="Q253" s="189">
        <f t="shared" si="47"/>
        <v>1</v>
      </c>
      <c r="R253" s="189">
        <f t="shared" si="47"/>
        <v>1</v>
      </c>
      <c r="S253" s="189">
        <f t="shared" si="47"/>
        <v>1</v>
      </c>
      <c r="T253" s="189">
        <f t="shared" si="47"/>
        <v>1</v>
      </c>
      <c r="U253" s="189">
        <f t="shared" si="47"/>
        <v>1</v>
      </c>
      <c r="V253" s="60">
        <f t="shared" si="44"/>
        <v>46454</v>
      </c>
      <c r="W253" s="121">
        <f t="shared" si="37"/>
        <v>2</v>
      </c>
      <c r="AC253" t="s">
        <v>261</v>
      </c>
      <c r="AD253" s="60">
        <f t="shared" si="46"/>
        <v>46454</v>
      </c>
      <c r="AE253">
        <f t="shared" si="38"/>
        <v>68</v>
      </c>
      <c r="AF253">
        <f t="shared" si="39"/>
        <v>68</v>
      </c>
      <c r="AG253">
        <f t="shared" si="40"/>
        <v>58</v>
      </c>
      <c r="AH253">
        <f t="shared" si="41"/>
        <v>58</v>
      </c>
      <c r="AI253">
        <f t="shared" si="42"/>
        <v>58</v>
      </c>
      <c r="AJ253"/>
    </row>
    <row r="254" spans="15:36" x14ac:dyDescent="0.25">
      <c r="O254" s="60">
        <f t="shared" si="45"/>
        <v>46455</v>
      </c>
      <c r="P254" s="121">
        <f t="shared" si="43"/>
        <v>3</v>
      </c>
      <c r="Q254" s="189">
        <f t="shared" si="47"/>
        <v>1</v>
      </c>
      <c r="R254" s="189">
        <f t="shared" si="47"/>
        <v>1</v>
      </c>
      <c r="S254" s="189">
        <f t="shared" si="47"/>
        <v>1</v>
      </c>
      <c r="T254" s="189">
        <f t="shared" si="47"/>
        <v>1</v>
      </c>
      <c r="U254" s="189">
        <f t="shared" si="47"/>
        <v>1</v>
      </c>
      <c r="V254" s="60">
        <f t="shared" si="44"/>
        <v>46455</v>
      </c>
      <c r="W254" s="121">
        <f t="shared" si="37"/>
        <v>3</v>
      </c>
      <c r="AC254" t="s">
        <v>264</v>
      </c>
      <c r="AD254" s="60">
        <f t="shared" si="46"/>
        <v>46455</v>
      </c>
      <c r="AE254">
        <f t="shared" si="38"/>
        <v>67</v>
      </c>
      <c r="AF254">
        <f t="shared" si="39"/>
        <v>67</v>
      </c>
      <c r="AG254">
        <f t="shared" si="40"/>
        <v>57</v>
      </c>
      <c r="AH254">
        <f t="shared" si="41"/>
        <v>57</v>
      </c>
      <c r="AI254">
        <f t="shared" si="42"/>
        <v>57</v>
      </c>
      <c r="AJ254"/>
    </row>
    <row r="255" spans="15:36" x14ac:dyDescent="0.25">
      <c r="O255" s="60">
        <f t="shared" si="45"/>
        <v>46456</v>
      </c>
      <c r="P255" s="121">
        <f t="shared" si="43"/>
        <v>4</v>
      </c>
      <c r="Q255" s="189">
        <f t="shared" si="47"/>
        <v>1</v>
      </c>
      <c r="R255" s="189">
        <f t="shared" si="47"/>
        <v>1</v>
      </c>
      <c r="S255" s="189">
        <f t="shared" si="47"/>
        <v>1</v>
      </c>
      <c r="T255" s="189">
        <f t="shared" si="47"/>
        <v>1</v>
      </c>
      <c r="U255" s="189">
        <f t="shared" si="47"/>
        <v>1</v>
      </c>
      <c r="V255" s="60">
        <f t="shared" si="44"/>
        <v>46456</v>
      </c>
      <c r="W255" s="121">
        <f t="shared" si="37"/>
        <v>4</v>
      </c>
      <c r="AC255" t="s">
        <v>261</v>
      </c>
      <c r="AD255" s="60">
        <f t="shared" si="46"/>
        <v>46456</v>
      </c>
      <c r="AE255">
        <f t="shared" si="38"/>
        <v>66</v>
      </c>
      <c r="AF255">
        <f t="shared" si="39"/>
        <v>66</v>
      </c>
      <c r="AG255">
        <f t="shared" si="40"/>
        <v>56</v>
      </c>
      <c r="AH255">
        <f t="shared" si="41"/>
        <v>56</v>
      </c>
      <c r="AI255">
        <f t="shared" si="42"/>
        <v>56</v>
      </c>
      <c r="AJ255"/>
    </row>
    <row r="256" spans="15:36" x14ac:dyDescent="0.25">
      <c r="O256" s="60">
        <f t="shared" si="45"/>
        <v>46457</v>
      </c>
      <c r="P256" s="121">
        <f t="shared" si="43"/>
        <v>5</v>
      </c>
      <c r="Q256" s="189">
        <f t="shared" si="47"/>
        <v>1</v>
      </c>
      <c r="R256" s="189">
        <f t="shared" si="47"/>
        <v>1</v>
      </c>
      <c r="S256" s="189">
        <f t="shared" si="47"/>
        <v>1</v>
      </c>
      <c r="T256" s="189">
        <f t="shared" si="47"/>
        <v>1</v>
      </c>
      <c r="U256" s="189">
        <f t="shared" si="47"/>
        <v>1</v>
      </c>
      <c r="V256" s="60">
        <f t="shared" si="44"/>
        <v>46457</v>
      </c>
      <c r="W256" s="121">
        <f t="shared" si="37"/>
        <v>5</v>
      </c>
      <c r="AC256" t="s">
        <v>264</v>
      </c>
      <c r="AD256" s="60">
        <f t="shared" si="46"/>
        <v>46457</v>
      </c>
      <c r="AE256">
        <f t="shared" si="38"/>
        <v>65</v>
      </c>
      <c r="AF256">
        <f t="shared" si="39"/>
        <v>65</v>
      </c>
      <c r="AG256">
        <f t="shared" si="40"/>
        <v>55</v>
      </c>
      <c r="AH256">
        <f t="shared" si="41"/>
        <v>55</v>
      </c>
      <c r="AI256">
        <f t="shared" si="42"/>
        <v>55</v>
      </c>
      <c r="AJ256"/>
    </row>
    <row r="257" spans="15:36" x14ac:dyDescent="0.25">
      <c r="O257" s="60">
        <f t="shared" si="45"/>
        <v>46458</v>
      </c>
      <c r="P257" s="121">
        <f t="shared" si="43"/>
        <v>6</v>
      </c>
      <c r="Q257" s="189">
        <f t="shared" si="47"/>
        <v>1</v>
      </c>
      <c r="R257" s="189">
        <f t="shared" si="47"/>
        <v>1</v>
      </c>
      <c r="S257" s="189">
        <f t="shared" si="47"/>
        <v>1</v>
      </c>
      <c r="T257" s="189">
        <f t="shared" si="47"/>
        <v>1</v>
      </c>
      <c r="U257" s="189">
        <f t="shared" si="47"/>
        <v>1</v>
      </c>
      <c r="V257" s="60">
        <f t="shared" si="44"/>
        <v>46458</v>
      </c>
      <c r="W257" s="121">
        <f t="shared" si="37"/>
        <v>6</v>
      </c>
      <c r="AC257" t="s">
        <v>261</v>
      </c>
      <c r="AD257" s="60">
        <f t="shared" si="46"/>
        <v>46458</v>
      </c>
      <c r="AE257">
        <f t="shared" si="38"/>
        <v>64</v>
      </c>
      <c r="AF257">
        <f t="shared" si="39"/>
        <v>64</v>
      </c>
      <c r="AG257">
        <f t="shared" si="40"/>
        <v>54</v>
      </c>
      <c r="AH257">
        <f t="shared" si="41"/>
        <v>54</v>
      </c>
      <c r="AI257">
        <f t="shared" si="42"/>
        <v>54</v>
      </c>
      <c r="AJ257"/>
    </row>
    <row r="258" spans="15:36" x14ac:dyDescent="0.25">
      <c r="O258" s="60">
        <f t="shared" si="45"/>
        <v>46459</v>
      </c>
      <c r="P258" s="121">
        <f t="shared" si="43"/>
        <v>7</v>
      </c>
      <c r="Q258" s="189" t="str">
        <f t="shared" si="47"/>
        <v/>
      </c>
      <c r="R258" s="189" t="str">
        <f t="shared" si="47"/>
        <v/>
      </c>
      <c r="S258" s="189" t="str">
        <f t="shared" si="47"/>
        <v/>
      </c>
      <c r="T258" s="189" t="str">
        <f t="shared" si="47"/>
        <v/>
      </c>
      <c r="U258" s="189" t="str">
        <f t="shared" si="47"/>
        <v/>
      </c>
      <c r="V258" s="60">
        <f t="shared" si="44"/>
        <v>46459</v>
      </c>
      <c r="W258" s="121">
        <f t="shared" si="37"/>
        <v>7</v>
      </c>
      <c r="AD258" s="60">
        <f t="shared" si="46"/>
        <v>46459</v>
      </c>
      <c r="AE258">
        <f t="shared" si="38"/>
        <v>64</v>
      </c>
      <c r="AF258">
        <f t="shared" si="39"/>
        <v>64</v>
      </c>
      <c r="AG258">
        <f t="shared" si="40"/>
        <v>54</v>
      </c>
      <c r="AH258">
        <f t="shared" si="41"/>
        <v>54</v>
      </c>
      <c r="AI258">
        <f t="shared" si="42"/>
        <v>54</v>
      </c>
      <c r="AJ258"/>
    </row>
    <row r="259" spans="15:36" x14ac:dyDescent="0.25">
      <c r="O259" s="60">
        <f t="shared" si="45"/>
        <v>46460</v>
      </c>
      <c r="P259" s="121">
        <f t="shared" si="43"/>
        <v>1</v>
      </c>
      <c r="Q259" s="189" t="str">
        <f t="shared" si="47"/>
        <v/>
      </c>
      <c r="R259" s="189" t="str">
        <f t="shared" si="47"/>
        <v/>
      </c>
      <c r="S259" s="189" t="str">
        <f t="shared" si="47"/>
        <v/>
      </c>
      <c r="T259" s="189" t="str">
        <f t="shared" si="47"/>
        <v/>
      </c>
      <c r="U259" s="189" t="str">
        <f t="shared" si="47"/>
        <v/>
      </c>
      <c r="V259" s="60">
        <f t="shared" si="44"/>
        <v>46460</v>
      </c>
      <c r="W259" s="121">
        <f t="shared" ref="W259:W322" si="48">WEEKDAY(V259)</f>
        <v>1</v>
      </c>
      <c r="AD259" s="60">
        <f t="shared" si="46"/>
        <v>46460</v>
      </c>
      <c r="AE259">
        <f t="shared" ref="AE259:AE322" si="49">AE258-(IF(Q259=1,1,0))</f>
        <v>64</v>
      </c>
      <c r="AF259">
        <f t="shared" ref="AF259:AF322" si="50">AF258-(IF(R259=1,1,0))</f>
        <v>64</v>
      </c>
      <c r="AG259">
        <f t="shared" ref="AG259:AG322" si="51">AG258-(IF(S259=1,1,0))</f>
        <v>54</v>
      </c>
      <c r="AH259">
        <f t="shared" ref="AH259:AH322" si="52">AH258-(IF(T259=1,1,0))</f>
        <v>54</v>
      </c>
      <c r="AI259">
        <f t="shared" ref="AI259:AI322" si="53">AI258-(IF(U259=1,1,0))</f>
        <v>54</v>
      </c>
      <c r="AJ259"/>
    </row>
    <row r="260" spans="15:36" x14ac:dyDescent="0.25">
      <c r="O260" s="60">
        <f t="shared" si="45"/>
        <v>46461</v>
      </c>
      <c r="P260" s="121">
        <f t="shared" ref="P260:P323" si="54">WEEKDAY(O260)</f>
        <v>2</v>
      </c>
      <c r="Q260" s="189">
        <f t="shared" si="47"/>
        <v>1</v>
      </c>
      <c r="R260" s="189">
        <f t="shared" si="47"/>
        <v>1</v>
      </c>
      <c r="S260" s="189">
        <f t="shared" si="47"/>
        <v>1</v>
      </c>
      <c r="T260" s="189">
        <f t="shared" si="47"/>
        <v>1</v>
      </c>
      <c r="U260" s="189">
        <f t="shared" si="47"/>
        <v>1</v>
      </c>
      <c r="V260" s="60">
        <f t="shared" ref="V260:V323" si="55">V259+1</f>
        <v>46461</v>
      </c>
      <c r="W260" s="121">
        <f t="shared" si="48"/>
        <v>2</v>
      </c>
      <c r="AC260" t="s">
        <v>264</v>
      </c>
      <c r="AD260" s="60">
        <f t="shared" si="46"/>
        <v>46461</v>
      </c>
      <c r="AE260">
        <f t="shared" si="49"/>
        <v>63</v>
      </c>
      <c r="AF260">
        <f t="shared" si="50"/>
        <v>63</v>
      </c>
      <c r="AG260">
        <f t="shared" si="51"/>
        <v>53</v>
      </c>
      <c r="AH260">
        <f t="shared" si="52"/>
        <v>53</v>
      </c>
      <c r="AI260">
        <f t="shared" si="53"/>
        <v>53</v>
      </c>
      <c r="AJ260"/>
    </row>
    <row r="261" spans="15:36" x14ac:dyDescent="0.25">
      <c r="O261" s="60">
        <f t="shared" si="45"/>
        <v>46462</v>
      </c>
      <c r="P261" s="121">
        <f t="shared" si="54"/>
        <v>3</v>
      </c>
      <c r="Q261" s="189">
        <f t="shared" si="47"/>
        <v>1</v>
      </c>
      <c r="R261" s="189">
        <f t="shared" si="47"/>
        <v>1</v>
      </c>
      <c r="S261" s="189">
        <f t="shared" si="47"/>
        <v>1</v>
      </c>
      <c r="T261" s="189">
        <f t="shared" si="47"/>
        <v>1</v>
      </c>
      <c r="U261" s="189">
        <f t="shared" si="47"/>
        <v>1</v>
      </c>
      <c r="V261" s="60">
        <f t="shared" si="55"/>
        <v>46462</v>
      </c>
      <c r="W261" s="121">
        <f t="shared" si="48"/>
        <v>3</v>
      </c>
      <c r="AD261" s="60">
        <f t="shared" si="46"/>
        <v>46462</v>
      </c>
      <c r="AE261">
        <f t="shared" si="49"/>
        <v>62</v>
      </c>
      <c r="AF261">
        <f t="shared" si="50"/>
        <v>62</v>
      </c>
      <c r="AG261">
        <f t="shared" si="51"/>
        <v>52</v>
      </c>
      <c r="AH261">
        <f t="shared" si="52"/>
        <v>52</v>
      </c>
      <c r="AI261">
        <f t="shared" si="53"/>
        <v>52</v>
      </c>
      <c r="AJ261"/>
    </row>
    <row r="262" spans="15:36" x14ac:dyDescent="0.25">
      <c r="O262" s="60">
        <f t="shared" ref="O262:O325" si="56">O261+1</f>
        <v>46463</v>
      </c>
      <c r="P262" s="121">
        <f t="shared" si="54"/>
        <v>4</v>
      </c>
      <c r="Q262" s="189">
        <f t="shared" si="47"/>
        <v>1</v>
      </c>
      <c r="R262" s="189">
        <f t="shared" si="47"/>
        <v>1</v>
      </c>
      <c r="S262" s="189">
        <f t="shared" si="47"/>
        <v>1</v>
      </c>
      <c r="T262" s="189">
        <f t="shared" si="47"/>
        <v>1</v>
      </c>
      <c r="U262" s="189">
        <f t="shared" si="47"/>
        <v>1</v>
      </c>
      <c r="V262" s="60">
        <f t="shared" si="55"/>
        <v>46463</v>
      </c>
      <c r="W262" s="121">
        <f t="shared" si="48"/>
        <v>4</v>
      </c>
      <c r="AC262" t="s">
        <v>261</v>
      </c>
      <c r="AD262" s="60">
        <f t="shared" ref="AD262:AD325" si="57">AD261+1</f>
        <v>46463</v>
      </c>
      <c r="AE262">
        <f t="shared" si="49"/>
        <v>61</v>
      </c>
      <c r="AF262">
        <f t="shared" si="50"/>
        <v>61</v>
      </c>
      <c r="AG262">
        <f t="shared" si="51"/>
        <v>51</v>
      </c>
      <c r="AH262">
        <f t="shared" si="52"/>
        <v>51</v>
      </c>
      <c r="AI262">
        <f t="shared" si="53"/>
        <v>51</v>
      </c>
      <c r="AJ262"/>
    </row>
    <row r="263" spans="15:36" x14ac:dyDescent="0.25">
      <c r="O263" s="60">
        <f t="shared" si="56"/>
        <v>46464</v>
      </c>
      <c r="P263" s="121">
        <f t="shared" si="54"/>
        <v>5</v>
      </c>
      <c r="Q263" s="189">
        <f t="shared" si="47"/>
        <v>1</v>
      </c>
      <c r="R263" s="189">
        <f t="shared" si="47"/>
        <v>1</v>
      </c>
      <c r="S263" s="189">
        <f t="shared" si="47"/>
        <v>1</v>
      </c>
      <c r="T263" s="189">
        <f t="shared" si="47"/>
        <v>1</v>
      </c>
      <c r="U263" s="189">
        <f t="shared" si="47"/>
        <v>1</v>
      </c>
      <c r="V263" s="60">
        <f t="shared" si="55"/>
        <v>46464</v>
      </c>
      <c r="W263" s="121">
        <f t="shared" si="48"/>
        <v>5</v>
      </c>
      <c r="AC263" t="s">
        <v>264</v>
      </c>
      <c r="AD263" s="60">
        <f t="shared" si="57"/>
        <v>46464</v>
      </c>
      <c r="AE263">
        <f t="shared" si="49"/>
        <v>60</v>
      </c>
      <c r="AF263">
        <f t="shared" si="50"/>
        <v>60</v>
      </c>
      <c r="AG263">
        <f t="shared" si="51"/>
        <v>50</v>
      </c>
      <c r="AH263">
        <f t="shared" si="52"/>
        <v>50</v>
      </c>
      <c r="AI263">
        <f t="shared" si="53"/>
        <v>50</v>
      </c>
      <c r="AJ263"/>
    </row>
    <row r="264" spans="15:36" x14ac:dyDescent="0.25">
      <c r="O264" s="60">
        <f t="shared" si="56"/>
        <v>46465</v>
      </c>
      <c r="P264" s="121">
        <f t="shared" si="54"/>
        <v>6</v>
      </c>
      <c r="Q264" s="189">
        <f t="shared" si="47"/>
        <v>1</v>
      </c>
      <c r="R264" s="189">
        <f t="shared" si="47"/>
        <v>1</v>
      </c>
      <c r="S264" s="189">
        <f t="shared" si="47"/>
        <v>1</v>
      </c>
      <c r="T264" s="189">
        <f t="shared" si="47"/>
        <v>1</v>
      </c>
      <c r="U264" s="189">
        <f t="shared" si="47"/>
        <v>1</v>
      </c>
      <c r="V264" s="60">
        <f t="shared" si="55"/>
        <v>46465</v>
      </c>
      <c r="W264" s="121">
        <f t="shared" si="48"/>
        <v>6</v>
      </c>
      <c r="AC264" t="s">
        <v>261</v>
      </c>
      <c r="AD264" s="60">
        <f t="shared" si="57"/>
        <v>46465</v>
      </c>
      <c r="AE264">
        <f t="shared" si="49"/>
        <v>59</v>
      </c>
      <c r="AF264">
        <f t="shared" si="50"/>
        <v>59</v>
      </c>
      <c r="AG264">
        <f t="shared" si="51"/>
        <v>49</v>
      </c>
      <c r="AH264">
        <f t="shared" si="52"/>
        <v>49</v>
      </c>
      <c r="AI264">
        <f t="shared" si="53"/>
        <v>49</v>
      </c>
      <c r="AJ264"/>
    </row>
    <row r="265" spans="15:36" x14ac:dyDescent="0.25">
      <c r="O265" s="60">
        <f t="shared" si="56"/>
        <v>46466</v>
      </c>
      <c r="P265" s="121">
        <f t="shared" si="54"/>
        <v>7</v>
      </c>
      <c r="Q265" s="189" t="str">
        <f t="shared" si="47"/>
        <v/>
      </c>
      <c r="R265" s="189" t="str">
        <f t="shared" si="47"/>
        <v/>
      </c>
      <c r="S265" s="189" t="str">
        <f t="shared" si="47"/>
        <v/>
      </c>
      <c r="T265" s="189" t="str">
        <f t="shared" si="47"/>
        <v/>
      </c>
      <c r="U265" s="189" t="str">
        <f t="shared" si="47"/>
        <v/>
      </c>
      <c r="V265" s="60">
        <f t="shared" si="55"/>
        <v>46466</v>
      </c>
      <c r="W265" s="121">
        <f t="shared" si="48"/>
        <v>7</v>
      </c>
      <c r="AD265" s="60">
        <f t="shared" si="57"/>
        <v>46466</v>
      </c>
      <c r="AE265">
        <f t="shared" si="49"/>
        <v>59</v>
      </c>
      <c r="AF265">
        <f t="shared" si="50"/>
        <v>59</v>
      </c>
      <c r="AG265">
        <f t="shared" si="51"/>
        <v>49</v>
      </c>
      <c r="AH265">
        <f t="shared" si="52"/>
        <v>49</v>
      </c>
      <c r="AI265">
        <f t="shared" si="53"/>
        <v>49</v>
      </c>
      <c r="AJ265"/>
    </row>
    <row r="266" spans="15:36" x14ac:dyDescent="0.25">
      <c r="O266" s="60">
        <f t="shared" si="56"/>
        <v>46467</v>
      </c>
      <c r="P266" s="121">
        <f t="shared" si="54"/>
        <v>1</v>
      </c>
      <c r="Q266" s="189" t="str">
        <f t="shared" si="47"/>
        <v/>
      </c>
      <c r="R266" s="189" t="str">
        <f t="shared" si="47"/>
        <v/>
      </c>
      <c r="S266" s="189" t="str">
        <f t="shared" si="47"/>
        <v/>
      </c>
      <c r="T266" s="189" t="str">
        <f t="shared" si="47"/>
        <v/>
      </c>
      <c r="U266" s="189" t="str">
        <f t="shared" si="47"/>
        <v/>
      </c>
      <c r="V266" s="60">
        <f t="shared" si="55"/>
        <v>46467</v>
      </c>
      <c r="W266" s="121">
        <f t="shared" si="48"/>
        <v>1</v>
      </c>
      <c r="AD266" s="60">
        <f t="shared" si="57"/>
        <v>46467</v>
      </c>
      <c r="AE266">
        <f t="shared" si="49"/>
        <v>59</v>
      </c>
      <c r="AF266">
        <f t="shared" si="50"/>
        <v>59</v>
      </c>
      <c r="AG266">
        <f t="shared" si="51"/>
        <v>49</v>
      </c>
      <c r="AH266">
        <f t="shared" si="52"/>
        <v>49</v>
      </c>
      <c r="AI266">
        <f t="shared" si="53"/>
        <v>49</v>
      </c>
      <c r="AJ266"/>
    </row>
    <row r="267" spans="15:36" x14ac:dyDescent="0.25">
      <c r="O267" s="60">
        <f t="shared" si="56"/>
        <v>46468</v>
      </c>
      <c r="P267" s="121">
        <f t="shared" si="54"/>
        <v>2</v>
      </c>
      <c r="Q267" s="189">
        <f t="shared" si="47"/>
        <v>1</v>
      </c>
      <c r="R267" s="189">
        <f t="shared" si="47"/>
        <v>1</v>
      </c>
      <c r="S267" s="189">
        <f t="shared" si="47"/>
        <v>1</v>
      </c>
      <c r="T267" s="189">
        <f t="shared" si="47"/>
        <v>1</v>
      </c>
      <c r="U267" s="189">
        <f t="shared" si="47"/>
        <v>1</v>
      </c>
      <c r="V267" s="60">
        <f t="shared" si="55"/>
        <v>46468</v>
      </c>
      <c r="W267" s="121">
        <f t="shared" si="48"/>
        <v>2</v>
      </c>
      <c r="AC267" t="s">
        <v>264</v>
      </c>
      <c r="AD267" s="60">
        <f t="shared" si="57"/>
        <v>46468</v>
      </c>
      <c r="AE267">
        <f t="shared" si="49"/>
        <v>58</v>
      </c>
      <c r="AF267">
        <f t="shared" si="50"/>
        <v>58</v>
      </c>
      <c r="AG267">
        <f t="shared" si="51"/>
        <v>48</v>
      </c>
      <c r="AH267">
        <f t="shared" si="52"/>
        <v>48</v>
      </c>
      <c r="AI267">
        <f t="shared" si="53"/>
        <v>48</v>
      </c>
      <c r="AJ267"/>
    </row>
    <row r="268" spans="15:36" x14ac:dyDescent="0.25">
      <c r="O268" s="60">
        <f t="shared" si="56"/>
        <v>46469</v>
      </c>
      <c r="P268" s="121">
        <f t="shared" si="54"/>
        <v>3</v>
      </c>
      <c r="Q268" s="189">
        <f t="shared" si="47"/>
        <v>1</v>
      </c>
      <c r="R268" s="189">
        <f t="shared" si="47"/>
        <v>1</v>
      </c>
      <c r="S268" s="189">
        <f t="shared" si="47"/>
        <v>1</v>
      </c>
      <c r="T268" s="189">
        <f t="shared" si="47"/>
        <v>1</v>
      </c>
      <c r="U268" s="189">
        <f t="shared" si="47"/>
        <v>1</v>
      </c>
      <c r="V268" s="60">
        <f t="shared" si="55"/>
        <v>46469</v>
      </c>
      <c r="W268" s="121">
        <f t="shared" si="48"/>
        <v>3</v>
      </c>
      <c r="AC268" t="s">
        <v>261</v>
      </c>
      <c r="AD268" s="60">
        <f t="shared" si="57"/>
        <v>46469</v>
      </c>
      <c r="AE268">
        <f t="shared" si="49"/>
        <v>57</v>
      </c>
      <c r="AF268">
        <f t="shared" si="50"/>
        <v>57</v>
      </c>
      <c r="AG268">
        <f t="shared" si="51"/>
        <v>47</v>
      </c>
      <c r="AH268">
        <f t="shared" si="52"/>
        <v>47</v>
      </c>
      <c r="AI268">
        <f t="shared" si="53"/>
        <v>47</v>
      </c>
      <c r="AJ268"/>
    </row>
    <row r="269" spans="15:36" x14ac:dyDescent="0.25">
      <c r="O269" s="60">
        <f t="shared" si="56"/>
        <v>46470</v>
      </c>
      <c r="P269" s="121">
        <f t="shared" si="54"/>
        <v>4</v>
      </c>
      <c r="Q269" s="189">
        <f t="shared" si="47"/>
        <v>1</v>
      </c>
      <c r="R269" s="189">
        <f t="shared" si="47"/>
        <v>1</v>
      </c>
      <c r="S269" s="189">
        <f t="shared" si="47"/>
        <v>1</v>
      </c>
      <c r="T269" s="189">
        <f t="shared" si="47"/>
        <v>1</v>
      </c>
      <c r="U269" s="189">
        <f t="shared" si="47"/>
        <v>1</v>
      </c>
      <c r="V269" s="60">
        <f t="shared" si="55"/>
        <v>46470</v>
      </c>
      <c r="W269" s="121">
        <f t="shared" si="48"/>
        <v>4</v>
      </c>
      <c r="AC269" t="s">
        <v>264</v>
      </c>
      <c r="AD269" s="60">
        <f t="shared" si="57"/>
        <v>46470</v>
      </c>
      <c r="AE269">
        <f t="shared" si="49"/>
        <v>56</v>
      </c>
      <c r="AF269">
        <f t="shared" si="50"/>
        <v>56</v>
      </c>
      <c r="AG269">
        <f t="shared" si="51"/>
        <v>46</v>
      </c>
      <c r="AH269">
        <f t="shared" si="52"/>
        <v>46</v>
      </c>
      <c r="AI269">
        <f t="shared" si="53"/>
        <v>46</v>
      </c>
      <c r="AJ269"/>
    </row>
    <row r="270" spans="15:36" x14ac:dyDescent="0.25">
      <c r="O270" s="60">
        <f t="shared" si="56"/>
        <v>46471</v>
      </c>
      <c r="P270" s="121">
        <f t="shared" si="54"/>
        <v>5</v>
      </c>
      <c r="Q270" s="189">
        <f t="shared" si="47"/>
        <v>1</v>
      </c>
      <c r="R270" s="189">
        <f t="shared" si="47"/>
        <v>1</v>
      </c>
      <c r="S270" s="189">
        <f t="shared" si="47"/>
        <v>1</v>
      </c>
      <c r="T270" s="189">
        <f t="shared" si="47"/>
        <v>1</v>
      </c>
      <c r="U270" s="189">
        <f t="shared" si="47"/>
        <v>1</v>
      </c>
      <c r="V270" s="60">
        <f t="shared" si="55"/>
        <v>46471</v>
      </c>
      <c r="W270" s="121">
        <f t="shared" si="48"/>
        <v>5</v>
      </c>
      <c r="AC270" t="s">
        <v>261</v>
      </c>
      <c r="AD270" s="60">
        <f t="shared" si="57"/>
        <v>46471</v>
      </c>
      <c r="AE270">
        <f t="shared" si="49"/>
        <v>55</v>
      </c>
      <c r="AF270">
        <f t="shared" si="50"/>
        <v>55</v>
      </c>
      <c r="AG270">
        <f t="shared" si="51"/>
        <v>45</v>
      </c>
      <c r="AH270">
        <f t="shared" si="52"/>
        <v>45</v>
      </c>
      <c r="AI270">
        <f t="shared" si="53"/>
        <v>45</v>
      </c>
      <c r="AJ270"/>
    </row>
    <row r="271" spans="15:36" x14ac:dyDescent="0.25">
      <c r="O271" s="60">
        <f t="shared" si="56"/>
        <v>46472</v>
      </c>
      <c r="P271" s="121">
        <f t="shared" si="54"/>
        <v>6</v>
      </c>
      <c r="Q271" s="189" t="s">
        <v>178</v>
      </c>
      <c r="R271" s="189" t="s">
        <v>178</v>
      </c>
      <c r="S271" s="189" t="s">
        <v>178</v>
      </c>
      <c r="T271" s="189" t="s">
        <v>178</v>
      </c>
      <c r="U271" s="189" t="s">
        <v>178</v>
      </c>
      <c r="V271" s="60">
        <f t="shared" si="55"/>
        <v>46472</v>
      </c>
      <c r="W271" s="121">
        <f t="shared" si="48"/>
        <v>6</v>
      </c>
      <c r="X271" t="s">
        <v>575</v>
      </c>
      <c r="Y271" t="s">
        <v>575</v>
      </c>
      <c r="Z271" t="s">
        <v>575</v>
      </c>
      <c r="AA271" t="s">
        <v>575</v>
      </c>
      <c r="AB271" t="s">
        <v>575</v>
      </c>
      <c r="AD271" s="60">
        <f t="shared" si="57"/>
        <v>46472</v>
      </c>
      <c r="AE271">
        <f t="shared" si="49"/>
        <v>55</v>
      </c>
      <c r="AF271">
        <f t="shared" si="50"/>
        <v>55</v>
      </c>
      <c r="AG271">
        <f t="shared" si="51"/>
        <v>45</v>
      </c>
      <c r="AH271">
        <f t="shared" si="52"/>
        <v>45</v>
      </c>
      <c r="AI271">
        <f t="shared" si="53"/>
        <v>45</v>
      </c>
      <c r="AJ271"/>
    </row>
    <row r="272" spans="15:36" x14ac:dyDescent="0.25">
      <c r="O272" s="60">
        <f t="shared" si="56"/>
        <v>46473</v>
      </c>
      <c r="P272" s="121">
        <f t="shared" si="54"/>
        <v>7</v>
      </c>
      <c r="Q272" s="189" t="str">
        <f t="shared" si="47"/>
        <v/>
      </c>
      <c r="R272" s="189" t="str">
        <f t="shared" si="47"/>
        <v/>
      </c>
      <c r="S272" s="189" t="str">
        <f t="shared" si="47"/>
        <v/>
      </c>
      <c r="T272" s="189" t="str">
        <f t="shared" si="47"/>
        <v/>
      </c>
      <c r="U272" s="189" t="str">
        <f t="shared" si="47"/>
        <v/>
      </c>
      <c r="V272" s="60">
        <f t="shared" si="55"/>
        <v>46473</v>
      </c>
      <c r="W272" s="121">
        <f t="shared" si="48"/>
        <v>7</v>
      </c>
      <c r="AD272" s="60">
        <f t="shared" si="57"/>
        <v>46473</v>
      </c>
      <c r="AE272">
        <f t="shared" si="49"/>
        <v>55</v>
      </c>
      <c r="AF272">
        <f t="shared" si="50"/>
        <v>55</v>
      </c>
      <c r="AG272">
        <f t="shared" si="51"/>
        <v>45</v>
      </c>
      <c r="AH272">
        <f t="shared" si="52"/>
        <v>45</v>
      </c>
      <c r="AI272">
        <f t="shared" si="53"/>
        <v>45</v>
      </c>
      <c r="AJ272"/>
    </row>
    <row r="273" spans="15:36" x14ac:dyDescent="0.25">
      <c r="O273" s="60">
        <f t="shared" si="56"/>
        <v>46474</v>
      </c>
      <c r="P273" s="121">
        <f t="shared" si="54"/>
        <v>1</v>
      </c>
      <c r="Q273" s="189" t="str">
        <f t="shared" si="47"/>
        <v/>
      </c>
      <c r="R273" s="189" t="str">
        <f t="shared" si="47"/>
        <v/>
      </c>
      <c r="S273" s="189" t="str">
        <f t="shared" si="47"/>
        <v/>
      </c>
      <c r="T273" s="189" t="str">
        <f t="shared" si="47"/>
        <v/>
      </c>
      <c r="U273" s="189" t="str">
        <f t="shared" si="47"/>
        <v/>
      </c>
      <c r="V273" s="60">
        <f t="shared" si="55"/>
        <v>46474</v>
      </c>
      <c r="W273" s="121">
        <f t="shared" si="48"/>
        <v>1</v>
      </c>
      <c r="AD273" s="60">
        <f t="shared" si="57"/>
        <v>46474</v>
      </c>
      <c r="AE273">
        <f t="shared" si="49"/>
        <v>55</v>
      </c>
      <c r="AF273">
        <f t="shared" si="50"/>
        <v>55</v>
      </c>
      <c r="AG273">
        <f t="shared" si="51"/>
        <v>45</v>
      </c>
      <c r="AH273">
        <f t="shared" si="52"/>
        <v>45</v>
      </c>
      <c r="AI273">
        <f t="shared" si="53"/>
        <v>45</v>
      </c>
      <c r="AJ273"/>
    </row>
    <row r="274" spans="15:36" x14ac:dyDescent="0.25">
      <c r="O274" s="60">
        <f t="shared" si="56"/>
        <v>46475</v>
      </c>
      <c r="P274" s="121">
        <f t="shared" si="54"/>
        <v>2</v>
      </c>
      <c r="Q274" s="189" t="s">
        <v>190</v>
      </c>
      <c r="R274" s="189" t="s">
        <v>190</v>
      </c>
      <c r="S274" s="189" t="s">
        <v>190</v>
      </c>
      <c r="T274" s="189" t="s">
        <v>190</v>
      </c>
      <c r="U274" s="189" t="s">
        <v>190</v>
      </c>
      <c r="V274" s="60">
        <f t="shared" si="55"/>
        <v>46475</v>
      </c>
      <c r="W274" s="121">
        <f t="shared" si="48"/>
        <v>2</v>
      </c>
      <c r="AD274" s="60">
        <f t="shared" si="57"/>
        <v>46475</v>
      </c>
      <c r="AE274">
        <f t="shared" si="49"/>
        <v>55</v>
      </c>
      <c r="AF274">
        <f t="shared" si="50"/>
        <v>55</v>
      </c>
      <c r="AG274">
        <f t="shared" si="51"/>
        <v>45</v>
      </c>
      <c r="AH274">
        <f t="shared" si="52"/>
        <v>45</v>
      </c>
      <c r="AI274">
        <f t="shared" si="53"/>
        <v>45</v>
      </c>
      <c r="AJ274"/>
    </row>
    <row r="275" spans="15:36" x14ac:dyDescent="0.25">
      <c r="O275" s="60">
        <f t="shared" si="56"/>
        <v>46476</v>
      </c>
      <c r="P275" s="121">
        <f t="shared" si="54"/>
        <v>3</v>
      </c>
      <c r="Q275" s="189" t="s">
        <v>190</v>
      </c>
      <c r="R275" s="189" t="s">
        <v>190</v>
      </c>
      <c r="S275" s="189" t="s">
        <v>190</v>
      </c>
      <c r="T275" s="189" t="s">
        <v>190</v>
      </c>
      <c r="U275" s="189" t="s">
        <v>190</v>
      </c>
      <c r="V275" s="60">
        <f t="shared" si="55"/>
        <v>46476</v>
      </c>
      <c r="W275" s="121">
        <f t="shared" si="48"/>
        <v>3</v>
      </c>
      <c r="AD275" s="60">
        <f t="shared" si="57"/>
        <v>46476</v>
      </c>
      <c r="AE275">
        <f t="shared" si="49"/>
        <v>55</v>
      </c>
      <c r="AF275">
        <f t="shared" si="50"/>
        <v>55</v>
      </c>
      <c r="AG275">
        <f t="shared" si="51"/>
        <v>45</v>
      </c>
      <c r="AH275">
        <f t="shared" si="52"/>
        <v>45</v>
      </c>
      <c r="AI275">
        <f t="shared" si="53"/>
        <v>45</v>
      </c>
      <c r="AJ275"/>
    </row>
    <row r="276" spans="15:36" x14ac:dyDescent="0.25">
      <c r="O276" s="60">
        <f t="shared" si="56"/>
        <v>46477</v>
      </c>
      <c r="P276" s="121">
        <f t="shared" si="54"/>
        <v>4</v>
      </c>
      <c r="Q276" s="189" t="s">
        <v>190</v>
      </c>
      <c r="R276" s="189" t="s">
        <v>190</v>
      </c>
      <c r="S276" s="189" t="s">
        <v>190</v>
      </c>
      <c r="T276" s="189" t="s">
        <v>190</v>
      </c>
      <c r="U276" s="189" t="s">
        <v>190</v>
      </c>
      <c r="V276" s="60">
        <f t="shared" si="55"/>
        <v>46477</v>
      </c>
      <c r="W276" s="121">
        <f t="shared" si="48"/>
        <v>4</v>
      </c>
      <c r="AD276" s="60">
        <f t="shared" si="57"/>
        <v>46477</v>
      </c>
      <c r="AE276">
        <f t="shared" si="49"/>
        <v>55</v>
      </c>
      <c r="AF276">
        <f t="shared" si="50"/>
        <v>55</v>
      </c>
      <c r="AG276">
        <f t="shared" si="51"/>
        <v>45</v>
      </c>
      <c r="AH276">
        <f t="shared" si="52"/>
        <v>45</v>
      </c>
      <c r="AI276">
        <f t="shared" si="53"/>
        <v>45</v>
      </c>
      <c r="AJ276"/>
    </row>
    <row r="277" spans="15:36" x14ac:dyDescent="0.25">
      <c r="O277" s="60">
        <f t="shared" si="56"/>
        <v>46478</v>
      </c>
      <c r="P277" s="121">
        <f t="shared" si="54"/>
        <v>5</v>
      </c>
      <c r="Q277" s="189" t="s">
        <v>190</v>
      </c>
      <c r="R277" s="189" t="s">
        <v>190</v>
      </c>
      <c r="S277" s="189" t="s">
        <v>190</v>
      </c>
      <c r="T277" s="189" t="s">
        <v>190</v>
      </c>
      <c r="U277" s="189" t="s">
        <v>190</v>
      </c>
      <c r="V277" s="60">
        <f t="shared" si="55"/>
        <v>46478</v>
      </c>
      <c r="W277" s="121">
        <f t="shared" si="48"/>
        <v>5</v>
      </c>
      <c r="AD277" s="60">
        <f t="shared" si="57"/>
        <v>46478</v>
      </c>
      <c r="AE277">
        <f t="shared" si="49"/>
        <v>55</v>
      </c>
      <c r="AF277">
        <f t="shared" si="50"/>
        <v>55</v>
      </c>
      <c r="AG277">
        <f t="shared" si="51"/>
        <v>45</v>
      </c>
      <c r="AH277">
        <f t="shared" si="52"/>
        <v>45</v>
      </c>
      <c r="AI277">
        <f t="shared" si="53"/>
        <v>45</v>
      </c>
      <c r="AJ277"/>
    </row>
    <row r="278" spans="15:36" x14ac:dyDescent="0.25">
      <c r="O278" s="60">
        <f t="shared" si="56"/>
        <v>46479</v>
      </c>
      <c r="P278" s="121">
        <f t="shared" si="54"/>
        <v>6</v>
      </c>
      <c r="Q278" s="189" t="s">
        <v>190</v>
      </c>
      <c r="R278" s="189" t="s">
        <v>190</v>
      </c>
      <c r="S278" s="189" t="s">
        <v>190</v>
      </c>
      <c r="T278" s="189" t="s">
        <v>190</v>
      </c>
      <c r="U278" s="189" t="s">
        <v>190</v>
      </c>
      <c r="V278" s="60">
        <f t="shared" si="55"/>
        <v>46479</v>
      </c>
      <c r="W278" s="121">
        <f t="shared" si="48"/>
        <v>6</v>
      </c>
      <c r="AD278" s="60">
        <f t="shared" si="57"/>
        <v>46479</v>
      </c>
      <c r="AE278">
        <f t="shared" si="49"/>
        <v>55</v>
      </c>
      <c r="AF278">
        <f t="shared" si="50"/>
        <v>55</v>
      </c>
      <c r="AG278">
        <f t="shared" si="51"/>
        <v>45</v>
      </c>
      <c r="AH278">
        <f t="shared" si="52"/>
        <v>45</v>
      </c>
      <c r="AI278">
        <f t="shared" si="53"/>
        <v>45</v>
      </c>
      <c r="AJ278"/>
    </row>
    <row r="279" spans="15:36" x14ac:dyDescent="0.25">
      <c r="O279" s="60">
        <f t="shared" si="56"/>
        <v>46480</v>
      </c>
      <c r="P279" s="121">
        <f t="shared" si="54"/>
        <v>7</v>
      </c>
      <c r="Q279" s="189" t="str">
        <f t="shared" si="47"/>
        <v/>
      </c>
      <c r="R279" s="189" t="str">
        <f t="shared" si="47"/>
        <v/>
      </c>
      <c r="S279" s="189" t="str">
        <f t="shared" si="47"/>
        <v/>
      </c>
      <c r="T279" s="189" t="str">
        <f t="shared" si="47"/>
        <v/>
      </c>
      <c r="U279" s="189" t="str">
        <f t="shared" si="47"/>
        <v/>
      </c>
      <c r="V279" s="60">
        <f t="shared" si="55"/>
        <v>46480</v>
      </c>
      <c r="W279" s="121">
        <f t="shared" si="48"/>
        <v>7</v>
      </c>
      <c r="AD279" s="60">
        <f t="shared" si="57"/>
        <v>46480</v>
      </c>
      <c r="AE279">
        <f t="shared" si="49"/>
        <v>55</v>
      </c>
      <c r="AF279">
        <f t="shared" si="50"/>
        <v>55</v>
      </c>
      <c r="AG279">
        <f t="shared" si="51"/>
        <v>45</v>
      </c>
      <c r="AH279">
        <f t="shared" si="52"/>
        <v>45</v>
      </c>
      <c r="AI279">
        <f t="shared" si="53"/>
        <v>45</v>
      </c>
      <c r="AJ279"/>
    </row>
    <row r="280" spans="15:36" x14ac:dyDescent="0.25">
      <c r="O280" s="60">
        <f t="shared" si="56"/>
        <v>46481</v>
      </c>
      <c r="P280" s="121">
        <f t="shared" si="54"/>
        <v>1</v>
      </c>
      <c r="Q280" s="189" t="str">
        <f t="shared" si="47"/>
        <v/>
      </c>
      <c r="R280" s="189" t="str">
        <f t="shared" si="47"/>
        <v/>
      </c>
      <c r="S280" s="189" t="str">
        <f t="shared" si="47"/>
        <v/>
      </c>
      <c r="T280" s="189" t="str">
        <f t="shared" si="47"/>
        <v/>
      </c>
      <c r="U280" s="189" t="str">
        <f t="shared" si="47"/>
        <v/>
      </c>
      <c r="V280" s="60">
        <f t="shared" si="55"/>
        <v>46481</v>
      </c>
      <c r="W280" s="121">
        <f t="shared" si="48"/>
        <v>1</v>
      </c>
      <c r="AD280" s="60">
        <f t="shared" si="57"/>
        <v>46481</v>
      </c>
      <c r="AE280">
        <f t="shared" si="49"/>
        <v>55</v>
      </c>
      <c r="AF280">
        <f t="shared" si="50"/>
        <v>55</v>
      </c>
      <c r="AG280">
        <f t="shared" si="51"/>
        <v>45</v>
      </c>
      <c r="AH280">
        <f t="shared" si="52"/>
        <v>45</v>
      </c>
      <c r="AI280">
        <f t="shared" si="53"/>
        <v>45</v>
      </c>
      <c r="AJ280"/>
    </row>
    <row r="281" spans="15:36" x14ac:dyDescent="0.25">
      <c r="O281" s="60">
        <f t="shared" si="56"/>
        <v>46482</v>
      </c>
      <c r="P281" s="121">
        <f t="shared" si="54"/>
        <v>2</v>
      </c>
      <c r="Q281" s="189">
        <f t="shared" si="47"/>
        <v>1</v>
      </c>
      <c r="R281" s="189">
        <f t="shared" si="47"/>
        <v>1</v>
      </c>
      <c r="S281" s="189">
        <f t="shared" si="47"/>
        <v>1</v>
      </c>
      <c r="T281" s="189">
        <f t="shared" si="47"/>
        <v>1</v>
      </c>
      <c r="U281" s="189">
        <f t="shared" si="47"/>
        <v>1</v>
      </c>
      <c r="V281" s="60">
        <f t="shared" si="55"/>
        <v>46482</v>
      </c>
      <c r="W281" s="121">
        <f t="shared" si="48"/>
        <v>2</v>
      </c>
      <c r="AC281" t="s">
        <v>264</v>
      </c>
      <c r="AD281" s="60">
        <f t="shared" si="57"/>
        <v>46482</v>
      </c>
      <c r="AE281">
        <f t="shared" si="49"/>
        <v>54</v>
      </c>
      <c r="AF281">
        <f t="shared" si="50"/>
        <v>54</v>
      </c>
      <c r="AG281">
        <f t="shared" si="51"/>
        <v>44</v>
      </c>
      <c r="AH281">
        <f t="shared" si="52"/>
        <v>44</v>
      </c>
      <c r="AI281">
        <f t="shared" si="53"/>
        <v>44</v>
      </c>
      <c r="AJ281"/>
    </row>
    <row r="282" spans="15:36" x14ac:dyDescent="0.25">
      <c r="O282" s="60">
        <f t="shared" si="56"/>
        <v>46483</v>
      </c>
      <c r="P282" s="121">
        <f t="shared" si="54"/>
        <v>3</v>
      </c>
      <c r="Q282" s="189">
        <f t="shared" si="47"/>
        <v>1</v>
      </c>
      <c r="R282" s="189">
        <f t="shared" si="47"/>
        <v>1</v>
      </c>
      <c r="S282" s="189">
        <f t="shared" si="47"/>
        <v>1</v>
      </c>
      <c r="T282" s="189">
        <f t="shared" si="47"/>
        <v>1</v>
      </c>
      <c r="U282" s="189">
        <f t="shared" si="47"/>
        <v>1</v>
      </c>
      <c r="V282" s="60">
        <f t="shared" si="55"/>
        <v>46483</v>
      </c>
      <c r="W282" s="121">
        <f t="shared" si="48"/>
        <v>3</v>
      </c>
      <c r="AC282" t="s">
        <v>261</v>
      </c>
      <c r="AD282" s="60">
        <f t="shared" si="57"/>
        <v>46483</v>
      </c>
      <c r="AE282">
        <f t="shared" si="49"/>
        <v>53</v>
      </c>
      <c r="AF282">
        <f t="shared" si="50"/>
        <v>53</v>
      </c>
      <c r="AG282">
        <f t="shared" si="51"/>
        <v>43</v>
      </c>
      <c r="AH282">
        <f t="shared" si="52"/>
        <v>43</v>
      </c>
      <c r="AI282">
        <f t="shared" si="53"/>
        <v>43</v>
      </c>
      <c r="AJ282"/>
    </row>
    <row r="283" spans="15:36" x14ac:dyDescent="0.25">
      <c r="O283" s="60">
        <f t="shared" si="56"/>
        <v>46484</v>
      </c>
      <c r="P283" s="121">
        <f t="shared" si="54"/>
        <v>4</v>
      </c>
      <c r="Q283" s="189">
        <f t="shared" si="47"/>
        <v>1</v>
      </c>
      <c r="R283" s="189">
        <f t="shared" si="47"/>
        <v>1</v>
      </c>
      <c r="S283" s="189">
        <f t="shared" si="47"/>
        <v>1</v>
      </c>
      <c r="T283" s="189">
        <f t="shared" si="47"/>
        <v>1</v>
      </c>
      <c r="U283" s="189">
        <f t="shared" si="47"/>
        <v>1</v>
      </c>
      <c r="V283" s="60">
        <f t="shared" si="55"/>
        <v>46484</v>
      </c>
      <c r="W283" s="121">
        <f t="shared" si="48"/>
        <v>4</v>
      </c>
      <c r="AC283" t="s">
        <v>264</v>
      </c>
      <c r="AD283" s="60">
        <f t="shared" si="57"/>
        <v>46484</v>
      </c>
      <c r="AE283">
        <f t="shared" si="49"/>
        <v>52</v>
      </c>
      <c r="AF283">
        <f t="shared" si="50"/>
        <v>52</v>
      </c>
      <c r="AG283">
        <f t="shared" si="51"/>
        <v>42</v>
      </c>
      <c r="AH283">
        <f t="shared" si="52"/>
        <v>42</v>
      </c>
      <c r="AI283">
        <f t="shared" si="53"/>
        <v>42</v>
      </c>
      <c r="AJ283"/>
    </row>
    <row r="284" spans="15:36" x14ac:dyDescent="0.25">
      <c r="O284" s="60">
        <f t="shared" si="56"/>
        <v>46485</v>
      </c>
      <c r="P284" s="121">
        <f t="shared" si="54"/>
        <v>5</v>
      </c>
      <c r="Q284" s="189">
        <f t="shared" si="47"/>
        <v>1</v>
      </c>
      <c r="R284" s="189">
        <f t="shared" si="47"/>
        <v>1</v>
      </c>
      <c r="S284" s="189">
        <f t="shared" si="47"/>
        <v>1</v>
      </c>
      <c r="T284" s="189">
        <f t="shared" si="47"/>
        <v>1</v>
      </c>
      <c r="U284" s="189">
        <f t="shared" si="47"/>
        <v>1</v>
      </c>
      <c r="V284" s="60">
        <f t="shared" si="55"/>
        <v>46485</v>
      </c>
      <c r="W284" s="121">
        <f t="shared" si="48"/>
        <v>5</v>
      </c>
      <c r="AC284" t="s">
        <v>261</v>
      </c>
      <c r="AD284" s="60">
        <f t="shared" si="57"/>
        <v>46485</v>
      </c>
      <c r="AE284">
        <f t="shared" si="49"/>
        <v>51</v>
      </c>
      <c r="AF284">
        <f t="shared" si="50"/>
        <v>51</v>
      </c>
      <c r="AG284">
        <f t="shared" si="51"/>
        <v>41</v>
      </c>
      <c r="AH284">
        <f t="shared" si="52"/>
        <v>41</v>
      </c>
      <c r="AI284">
        <f t="shared" si="53"/>
        <v>41</v>
      </c>
      <c r="AJ284"/>
    </row>
    <row r="285" spans="15:36" x14ac:dyDescent="0.25">
      <c r="O285" s="60">
        <f t="shared" si="56"/>
        <v>46486</v>
      </c>
      <c r="P285" s="121">
        <f t="shared" si="54"/>
        <v>6</v>
      </c>
      <c r="Q285" s="189">
        <f t="shared" si="47"/>
        <v>1</v>
      </c>
      <c r="R285" s="189">
        <f t="shared" si="47"/>
        <v>1</v>
      </c>
      <c r="S285" s="189">
        <f t="shared" si="47"/>
        <v>1</v>
      </c>
      <c r="T285" s="189">
        <f t="shared" si="47"/>
        <v>1</v>
      </c>
      <c r="U285" s="189">
        <f t="shared" si="47"/>
        <v>1</v>
      </c>
      <c r="V285" s="60">
        <f t="shared" si="55"/>
        <v>46486</v>
      </c>
      <c r="W285" s="121">
        <f t="shared" si="48"/>
        <v>6</v>
      </c>
      <c r="AC285" t="s">
        <v>264</v>
      </c>
      <c r="AD285" s="60">
        <f t="shared" si="57"/>
        <v>46486</v>
      </c>
      <c r="AE285">
        <f t="shared" si="49"/>
        <v>50</v>
      </c>
      <c r="AF285">
        <f t="shared" si="50"/>
        <v>50</v>
      </c>
      <c r="AG285">
        <f t="shared" si="51"/>
        <v>40</v>
      </c>
      <c r="AH285">
        <f t="shared" si="52"/>
        <v>40</v>
      </c>
      <c r="AI285">
        <f t="shared" si="53"/>
        <v>40</v>
      </c>
      <c r="AJ285"/>
    </row>
    <row r="286" spans="15:36" x14ac:dyDescent="0.25">
      <c r="O286" s="60">
        <f t="shared" si="56"/>
        <v>46487</v>
      </c>
      <c r="P286" s="121">
        <f t="shared" si="54"/>
        <v>7</v>
      </c>
      <c r="Q286" s="189" t="str">
        <f t="shared" si="47"/>
        <v/>
      </c>
      <c r="R286" s="189" t="str">
        <f t="shared" si="47"/>
        <v/>
      </c>
      <c r="S286" s="189" t="str">
        <f t="shared" si="47"/>
        <v/>
      </c>
      <c r="T286" s="189" t="str">
        <f t="shared" si="47"/>
        <v/>
      </c>
      <c r="U286" s="189" t="str">
        <f t="shared" si="47"/>
        <v/>
      </c>
      <c r="V286" s="60">
        <f t="shared" si="55"/>
        <v>46487</v>
      </c>
      <c r="W286" s="121">
        <f t="shared" si="48"/>
        <v>7</v>
      </c>
      <c r="AD286" s="60">
        <f t="shared" si="57"/>
        <v>46487</v>
      </c>
      <c r="AE286">
        <f t="shared" si="49"/>
        <v>50</v>
      </c>
      <c r="AF286">
        <f t="shared" si="50"/>
        <v>50</v>
      </c>
      <c r="AG286">
        <f t="shared" si="51"/>
        <v>40</v>
      </c>
      <c r="AH286">
        <f t="shared" si="52"/>
        <v>40</v>
      </c>
      <c r="AI286">
        <f t="shared" si="53"/>
        <v>40</v>
      </c>
      <c r="AJ286"/>
    </row>
    <row r="287" spans="15:36" x14ac:dyDescent="0.25">
      <c r="O287" s="60">
        <f t="shared" si="56"/>
        <v>46488</v>
      </c>
      <c r="P287" s="121">
        <f t="shared" si="54"/>
        <v>1</v>
      </c>
      <c r="Q287" s="189" t="str">
        <f t="shared" si="47"/>
        <v/>
      </c>
      <c r="R287" s="189" t="str">
        <f t="shared" si="47"/>
        <v/>
      </c>
      <c r="S287" s="189" t="str">
        <f t="shared" si="47"/>
        <v/>
      </c>
      <c r="T287" s="189" t="str">
        <f t="shared" si="47"/>
        <v/>
      </c>
      <c r="U287" s="189" t="str">
        <f t="shared" si="47"/>
        <v/>
      </c>
      <c r="V287" s="60">
        <f t="shared" si="55"/>
        <v>46488</v>
      </c>
      <c r="W287" s="121">
        <f t="shared" si="48"/>
        <v>1</v>
      </c>
      <c r="AD287" s="60">
        <f t="shared" si="57"/>
        <v>46488</v>
      </c>
      <c r="AE287">
        <f t="shared" si="49"/>
        <v>50</v>
      </c>
      <c r="AF287">
        <f t="shared" si="50"/>
        <v>50</v>
      </c>
      <c r="AG287">
        <f t="shared" si="51"/>
        <v>40</v>
      </c>
      <c r="AH287">
        <f t="shared" si="52"/>
        <v>40</v>
      </c>
      <c r="AI287">
        <f t="shared" si="53"/>
        <v>40</v>
      </c>
      <c r="AJ287"/>
    </row>
    <row r="288" spans="15:36" x14ac:dyDescent="0.25">
      <c r="O288" s="60">
        <f t="shared" si="56"/>
        <v>46489</v>
      </c>
      <c r="P288" s="121">
        <f t="shared" si="54"/>
        <v>2</v>
      </c>
      <c r="Q288" s="189">
        <f t="shared" si="47"/>
        <v>1</v>
      </c>
      <c r="R288" s="189">
        <f t="shared" si="47"/>
        <v>1</v>
      </c>
      <c r="S288" s="189">
        <f t="shared" si="47"/>
        <v>1</v>
      </c>
      <c r="T288" s="189">
        <f t="shared" si="47"/>
        <v>1</v>
      </c>
      <c r="U288" s="189">
        <f t="shared" si="47"/>
        <v>1</v>
      </c>
      <c r="V288" s="60">
        <f t="shared" si="55"/>
        <v>46489</v>
      </c>
      <c r="W288" s="121">
        <f t="shared" si="48"/>
        <v>2</v>
      </c>
      <c r="AC288" t="s">
        <v>261</v>
      </c>
      <c r="AD288" s="60">
        <f t="shared" si="57"/>
        <v>46489</v>
      </c>
      <c r="AE288">
        <f t="shared" si="49"/>
        <v>49</v>
      </c>
      <c r="AF288">
        <f t="shared" si="50"/>
        <v>49</v>
      </c>
      <c r="AG288">
        <f t="shared" si="51"/>
        <v>39</v>
      </c>
      <c r="AH288">
        <f t="shared" si="52"/>
        <v>39</v>
      </c>
      <c r="AI288">
        <f t="shared" si="53"/>
        <v>39</v>
      </c>
      <c r="AJ288"/>
    </row>
    <row r="289" spans="15:36" x14ac:dyDescent="0.25">
      <c r="O289" s="60">
        <f t="shared" si="56"/>
        <v>46490</v>
      </c>
      <c r="P289" s="121">
        <f t="shared" si="54"/>
        <v>3</v>
      </c>
      <c r="Q289" s="189">
        <f t="shared" si="47"/>
        <v>1</v>
      </c>
      <c r="R289" s="189">
        <f t="shared" si="47"/>
        <v>1</v>
      </c>
      <c r="S289" s="189">
        <f t="shared" si="47"/>
        <v>1</v>
      </c>
      <c r="T289" s="189">
        <f t="shared" si="47"/>
        <v>1</v>
      </c>
      <c r="U289" s="189">
        <f t="shared" si="47"/>
        <v>1</v>
      </c>
      <c r="V289" s="60">
        <f t="shared" si="55"/>
        <v>46490</v>
      </c>
      <c r="W289" s="121">
        <f t="shared" si="48"/>
        <v>3</v>
      </c>
      <c r="AC289" t="s">
        <v>264</v>
      </c>
      <c r="AD289" s="60">
        <f t="shared" si="57"/>
        <v>46490</v>
      </c>
      <c r="AE289">
        <f t="shared" si="49"/>
        <v>48</v>
      </c>
      <c r="AF289">
        <f t="shared" si="50"/>
        <v>48</v>
      </c>
      <c r="AG289">
        <f t="shared" si="51"/>
        <v>38</v>
      </c>
      <c r="AH289">
        <f t="shared" si="52"/>
        <v>38</v>
      </c>
      <c r="AI289">
        <f t="shared" si="53"/>
        <v>38</v>
      </c>
      <c r="AJ289"/>
    </row>
    <row r="290" spans="15:36" x14ac:dyDescent="0.25">
      <c r="O290" s="60">
        <f t="shared" si="56"/>
        <v>46491</v>
      </c>
      <c r="P290" s="121">
        <f t="shared" si="54"/>
        <v>4</v>
      </c>
      <c r="Q290" s="189">
        <f t="shared" si="47"/>
        <v>1</v>
      </c>
      <c r="R290" s="189">
        <f t="shared" si="47"/>
        <v>1</v>
      </c>
      <c r="S290" s="189">
        <f t="shared" si="47"/>
        <v>1</v>
      </c>
      <c r="T290" s="189">
        <f t="shared" si="47"/>
        <v>1</v>
      </c>
      <c r="U290" s="189">
        <f t="shared" si="47"/>
        <v>1</v>
      </c>
      <c r="V290" s="60">
        <f t="shared" si="55"/>
        <v>46491</v>
      </c>
      <c r="W290" s="121">
        <f t="shared" si="48"/>
        <v>4</v>
      </c>
      <c r="AC290" t="s">
        <v>261</v>
      </c>
      <c r="AD290" s="60">
        <f t="shared" si="57"/>
        <v>46491</v>
      </c>
      <c r="AE290">
        <f t="shared" si="49"/>
        <v>47</v>
      </c>
      <c r="AF290">
        <f t="shared" si="50"/>
        <v>47</v>
      </c>
      <c r="AG290">
        <f t="shared" si="51"/>
        <v>37</v>
      </c>
      <c r="AH290">
        <f t="shared" si="52"/>
        <v>37</v>
      </c>
      <c r="AI290">
        <f t="shared" si="53"/>
        <v>37</v>
      </c>
      <c r="AJ290"/>
    </row>
    <row r="291" spans="15:36" x14ac:dyDescent="0.25">
      <c r="O291" s="60">
        <f t="shared" si="56"/>
        <v>46492</v>
      </c>
      <c r="P291" s="121">
        <f t="shared" si="54"/>
        <v>5</v>
      </c>
      <c r="Q291" s="189">
        <f t="shared" ref="Q291:U306" si="58">IF(OR($P291=2,$P291=3,$P291=4,$P291=5,$P291=6),1,"")</f>
        <v>1</v>
      </c>
      <c r="R291" s="189">
        <f t="shared" si="58"/>
        <v>1</v>
      </c>
      <c r="S291" s="189">
        <f t="shared" si="58"/>
        <v>1</v>
      </c>
      <c r="T291" s="189">
        <f t="shared" si="58"/>
        <v>1</v>
      </c>
      <c r="U291" s="189">
        <f t="shared" si="58"/>
        <v>1</v>
      </c>
      <c r="V291" s="60">
        <f t="shared" si="55"/>
        <v>46492</v>
      </c>
      <c r="W291" s="121">
        <f t="shared" si="48"/>
        <v>5</v>
      </c>
      <c r="AC291" t="s">
        <v>264</v>
      </c>
      <c r="AD291" s="60">
        <f t="shared" si="57"/>
        <v>46492</v>
      </c>
      <c r="AE291">
        <f t="shared" si="49"/>
        <v>46</v>
      </c>
      <c r="AF291">
        <f t="shared" si="50"/>
        <v>46</v>
      </c>
      <c r="AG291">
        <f t="shared" si="51"/>
        <v>36</v>
      </c>
      <c r="AH291">
        <f t="shared" si="52"/>
        <v>36</v>
      </c>
      <c r="AI291">
        <f t="shared" si="53"/>
        <v>36</v>
      </c>
      <c r="AJ291"/>
    </row>
    <row r="292" spans="15:36" x14ac:dyDescent="0.25">
      <c r="O292" s="60">
        <f t="shared" si="56"/>
        <v>46493</v>
      </c>
      <c r="P292" s="121">
        <f t="shared" si="54"/>
        <v>6</v>
      </c>
      <c r="Q292" s="189">
        <f t="shared" si="58"/>
        <v>1</v>
      </c>
      <c r="R292" s="189">
        <f t="shared" si="58"/>
        <v>1</v>
      </c>
      <c r="S292" s="189">
        <f t="shared" si="58"/>
        <v>1</v>
      </c>
      <c r="T292" s="189">
        <f t="shared" si="58"/>
        <v>1</v>
      </c>
      <c r="U292" s="189">
        <f t="shared" si="58"/>
        <v>1</v>
      </c>
      <c r="V292" s="60">
        <f t="shared" si="55"/>
        <v>46493</v>
      </c>
      <c r="W292" s="121">
        <f t="shared" si="48"/>
        <v>6</v>
      </c>
      <c r="X292" t="s">
        <v>576</v>
      </c>
      <c r="Y292" t="s">
        <v>586</v>
      </c>
      <c r="Z292" t="s">
        <v>586</v>
      </c>
      <c r="AA292" t="s">
        <v>586</v>
      </c>
      <c r="AB292" t="s">
        <v>586</v>
      </c>
      <c r="AD292" s="60">
        <f t="shared" si="57"/>
        <v>46493</v>
      </c>
      <c r="AE292">
        <f t="shared" si="49"/>
        <v>45</v>
      </c>
      <c r="AF292">
        <f t="shared" si="50"/>
        <v>45</v>
      </c>
      <c r="AG292">
        <f t="shared" si="51"/>
        <v>35</v>
      </c>
      <c r="AH292">
        <f t="shared" si="52"/>
        <v>35</v>
      </c>
      <c r="AI292">
        <f t="shared" si="53"/>
        <v>35</v>
      </c>
      <c r="AJ292"/>
    </row>
    <row r="293" spans="15:36" x14ac:dyDescent="0.25">
      <c r="O293" s="60">
        <f t="shared" si="56"/>
        <v>46494</v>
      </c>
      <c r="P293" s="121">
        <f t="shared" si="54"/>
        <v>7</v>
      </c>
      <c r="Q293" s="189" t="str">
        <f t="shared" si="58"/>
        <v/>
      </c>
      <c r="R293" s="189" t="str">
        <f t="shared" si="58"/>
        <v/>
      </c>
      <c r="S293" s="189" t="str">
        <f t="shared" si="58"/>
        <v/>
      </c>
      <c r="T293" s="189" t="str">
        <f t="shared" si="58"/>
        <v/>
      </c>
      <c r="U293" s="189" t="str">
        <f t="shared" si="58"/>
        <v/>
      </c>
      <c r="V293" s="60">
        <f t="shared" si="55"/>
        <v>46494</v>
      </c>
      <c r="W293" s="121">
        <f t="shared" si="48"/>
        <v>7</v>
      </c>
      <c r="AD293" s="60">
        <f t="shared" si="57"/>
        <v>46494</v>
      </c>
      <c r="AE293">
        <f t="shared" si="49"/>
        <v>45</v>
      </c>
      <c r="AF293">
        <f t="shared" si="50"/>
        <v>45</v>
      </c>
      <c r="AG293">
        <f t="shared" si="51"/>
        <v>35</v>
      </c>
      <c r="AH293">
        <f t="shared" si="52"/>
        <v>35</v>
      </c>
      <c r="AI293">
        <f t="shared" si="53"/>
        <v>35</v>
      </c>
      <c r="AJ293"/>
    </row>
    <row r="294" spans="15:36" x14ac:dyDescent="0.25">
      <c r="O294" s="60">
        <f t="shared" si="56"/>
        <v>46495</v>
      </c>
      <c r="P294" s="121">
        <f t="shared" si="54"/>
        <v>1</v>
      </c>
      <c r="Q294" s="189" t="str">
        <f t="shared" si="58"/>
        <v/>
      </c>
      <c r="R294" s="189" t="str">
        <f t="shared" si="58"/>
        <v/>
      </c>
      <c r="S294" s="189" t="str">
        <f t="shared" si="58"/>
        <v/>
      </c>
      <c r="T294" s="189" t="str">
        <f t="shared" si="58"/>
        <v/>
      </c>
      <c r="U294" s="189" t="str">
        <f t="shared" si="58"/>
        <v/>
      </c>
      <c r="V294" s="60">
        <f t="shared" si="55"/>
        <v>46495</v>
      </c>
      <c r="W294" s="121">
        <f t="shared" si="48"/>
        <v>1</v>
      </c>
      <c r="AD294" s="60">
        <f t="shared" si="57"/>
        <v>46495</v>
      </c>
      <c r="AE294">
        <f t="shared" si="49"/>
        <v>45</v>
      </c>
      <c r="AF294">
        <f t="shared" si="50"/>
        <v>45</v>
      </c>
      <c r="AG294">
        <f t="shared" si="51"/>
        <v>35</v>
      </c>
      <c r="AH294">
        <f t="shared" si="52"/>
        <v>35</v>
      </c>
      <c r="AI294">
        <f t="shared" si="53"/>
        <v>35</v>
      </c>
      <c r="AJ294"/>
    </row>
    <row r="295" spans="15:36" x14ac:dyDescent="0.25">
      <c r="O295" s="60">
        <f t="shared" si="56"/>
        <v>46496</v>
      </c>
      <c r="P295" s="121">
        <f t="shared" si="54"/>
        <v>2</v>
      </c>
      <c r="Q295" s="189">
        <f t="shared" si="58"/>
        <v>1</v>
      </c>
      <c r="R295" s="189">
        <f t="shared" si="58"/>
        <v>1</v>
      </c>
      <c r="S295" s="189">
        <f t="shared" si="58"/>
        <v>1</v>
      </c>
      <c r="T295" s="189">
        <f t="shared" si="58"/>
        <v>1</v>
      </c>
      <c r="U295" s="189">
        <f t="shared" si="58"/>
        <v>1</v>
      </c>
      <c r="V295" s="60">
        <f t="shared" si="55"/>
        <v>46496</v>
      </c>
      <c r="W295" s="121">
        <f t="shared" si="48"/>
        <v>2</v>
      </c>
      <c r="AC295" t="s">
        <v>261</v>
      </c>
      <c r="AD295" s="60">
        <f t="shared" si="57"/>
        <v>46496</v>
      </c>
      <c r="AE295">
        <f t="shared" si="49"/>
        <v>44</v>
      </c>
      <c r="AF295">
        <f t="shared" si="50"/>
        <v>44</v>
      </c>
      <c r="AG295">
        <f t="shared" si="51"/>
        <v>34</v>
      </c>
      <c r="AH295">
        <f t="shared" si="52"/>
        <v>34</v>
      </c>
      <c r="AI295">
        <f t="shared" si="53"/>
        <v>34</v>
      </c>
      <c r="AJ295"/>
    </row>
    <row r="296" spans="15:36" x14ac:dyDescent="0.25">
      <c r="O296" s="60">
        <f t="shared" si="56"/>
        <v>46497</v>
      </c>
      <c r="P296" s="121">
        <f t="shared" si="54"/>
        <v>3</v>
      </c>
      <c r="Q296" s="189">
        <f t="shared" si="58"/>
        <v>1</v>
      </c>
      <c r="R296" s="189">
        <f t="shared" si="58"/>
        <v>1</v>
      </c>
      <c r="S296" s="189">
        <f t="shared" si="58"/>
        <v>1</v>
      </c>
      <c r="T296" s="189">
        <f t="shared" si="58"/>
        <v>1</v>
      </c>
      <c r="U296" s="189">
        <f t="shared" si="58"/>
        <v>1</v>
      </c>
      <c r="V296" s="60">
        <f t="shared" si="55"/>
        <v>46497</v>
      </c>
      <c r="W296" s="121">
        <f t="shared" si="48"/>
        <v>3</v>
      </c>
      <c r="AC296" t="s">
        <v>264</v>
      </c>
      <c r="AD296" s="60">
        <f t="shared" si="57"/>
        <v>46497</v>
      </c>
      <c r="AE296">
        <f t="shared" si="49"/>
        <v>43</v>
      </c>
      <c r="AF296">
        <f t="shared" si="50"/>
        <v>43</v>
      </c>
      <c r="AG296">
        <f t="shared" si="51"/>
        <v>33</v>
      </c>
      <c r="AH296">
        <f t="shared" si="52"/>
        <v>33</v>
      </c>
      <c r="AI296">
        <f t="shared" si="53"/>
        <v>33</v>
      </c>
      <c r="AJ296"/>
    </row>
    <row r="297" spans="15:36" x14ac:dyDescent="0.25">
      <c r="O297" s="60">
        <f t="shared" si="56"/>
        <v>46498</v>
      </c>
      <c r="P297" s="121">
        <f t="shared" si="54"/>
        <v>4</v>
      </c>
      <c r="Q297" s="189">
        <f t="shared" si="58"/>
        <v>1</v>
      </c>
      <c r="R297" s="189">
        <f t="shared" si="58"/>
        <v>1</v>
      </c>
      <c r="S297" s="189">
        <f t="shared" si="58"/>
        <v>1</v>
      </c>
      <c r="T297" s="189">
        <f t="shared" si="58"/>
        <v>1</v>
      </c>
      <c r="U297" s="189">
        <f t="shared" si="58"/>
        <v>1</v>
      </c>
      <c r="V297" s="60">
        <f t="shared" si="55"/>
        <v>46498</v>
      </c>
      <c r="W297" s="121">
        <f t="shared" si="48"/>
        <v>4</v>
      </c>
      <c r="AC297" t="s">
        <v>261</v>
      </c>
      <c r="AD297" s="60">
        <f t="shared" si="57"/>
        <v>46498</v>
      </c>
      <c r="AE297">
        <f t="shared" si="49"/>
        <v>42</v>
      </c>
      <c r="AF297">
        <f t="shared" si="50"/>
        <v>42</v>
      </c>
      <c r="AG297">
        <f t="shared" si="51"/>
        <v>32</v>
      </c>
      <c r="AH297">
        <f t="shared" si="52"/>
        <v>32</v>
      </c>
      <c r="AI297">
        <f t="shared" si="53"/>
        <v>32</v>
      </c>
      <c r="AJ297"/>
    </row>
    <row r="298" spans="15:36" x14ac:dyDescent="0.25">
      <c r="O298" s="60">
        <f t="shared" si="56"/>
        <v>46499</v>
      </c>
      <c r="P298" s="121">
        <f t="shared" si="54"/>
        <v>5</v>
      </c>
      <c r="Q298" s="189">
        <f t="shared" si="58"/>
        <v>1</v>
      </c>
      <c r="R298" s="189">
        <f t="shared" si="58"/>
        <v>1</v>
      </c>
      <c r="S298" s="189">
        <f t="shared" si="58"/>
        <v>1</v>
      </c>
      <c r="T298" s="189">
        <f t="shared" si="58"/>
        <v>1</v>
      </c>
      <c r="U298" s="189">
        <f t="shared" si="58"/>
        <v>1</v>
      </c>
      <c r="V298" s="60">
        <f t="shared" si="55"/>
        <v>46499</v>
      </c>
      <c r="W298" s="121">
        <f t="shared" si="48"/>
        <v>5</v>
      </c>
      <c r="AC298" t="s">
        <v>264</v>
      </c>
      <c r="AD298" s="60">
        <f t="shared" si="57"/>
        <v>46499</v>
      </c>
      <c r="AE298">
        <f t="shared" si="49"/>
        <v>41</v>
      </c>
      <c r="AF298">
        <f t="shared" si="50"/>
        <v>41</v>
      </c>
      <c r="AG298">
        <f t="shared" si="51"/>
        <v>31</v>
      </c>
      <c r="AH298">
        <f t="shared" si="52"/>
        <v>31</v>
      </c>
      <c r="AI298">
        <f t="shared" si="53"/>
        <v>31</v>
      </c>
      <c r="AJ298"/>
    </row>
    <row r="299" spans="15:36" x14ac:dyDescent="0.25">
      <c r="O299" s="60">
        <f t="shared" si="56"/>
        <v>46500</v>
      </c>
      <c r="P299" s="121">
        <f t="shared" si="54"/>
        <v>6</v>
      </c>
      <c r="Q299" s="189">
        <f t="shared" si="58"/>
        <v>1</v>
      </c>
      <c r="R299" s="189">
        <f t="shared" si="58"/>
        <v>1</v>
      </c>
      <c r="S299" s="189">
        <f t="shared" si="58"/>
        <v>1</v>
      </c>
      <c r="T299" s="189">
        <f t="shared" si="58"/>
        <v>1</v>
      </c>
      <c r="U299" s="189">
        <f t="shared" si="58"/>
        <v>1</v>
      </c>
      <c r="V299" s="60">
        <f t="shared" si="55"/>
        <v>46500</v>
      </c>
      <c r="W299" s="121">
        <f t="shared" si="48"/>
        <v>6</v>
      </c>
      <c r="AC299" t="s">
        <v>261</v>
      </c>
      <c r="AD299" s="60">
        <f t="shared" si="57"/>
        <v>46500</v>
      </c>
      <c r="AE299">
        <f t="shared" si="49"/>
        <v>40</v>
      </c>
      <c r="AF299">
        <f t="shared" si="50"/>
        <v>40</v>
      </c>
      <c r="AG299">
        <f t="shared" si="51"/>
        <v>30</v>
      </c>
      <c r="AH299">
        <f t="shared" si="52"/>
        <v>30</v>
      </c>
      <c r="AI299">
        <f t="shared" si="53"/>
        <v>30</v>
      </c>
      <c r="AJ299"/>
    </row>
    <row r="300" spans="15:36" x14ac:dyDescent="0.25">
      <c r="O300" s="60">
        <f t="shared" si="56"/>
        <v>46501</v>
      </c>
      <c r="P300" s="121">
        <f t="shared" si="54"/>
        <v>7</v>
      </c>
      <c r="Q300" s="189" t="str">
        <f t="shared" si="58"/>
        <v/>
      </c>
      <c r="R300" s="189" t="str">
        <f t="shared" si="58"/>
        <v/>
      </c>
      <c r="S300" s="189" t="str">
        <f t="shared" si="58"/>
        <v/>
      </c>
      <c r="T300" s="189" t="str">
        <f t="shared" si="58"/>
        <v/>
      </c>
      <c r="U300" s="189" t="str">
        <f t="shared" si="58"/>
        <v/>
      </c>
      <c r="V300" s="60">
        <f t="shared" si="55"/>
        <v>46501</v>
      </c>
      <c r="W300" s="121">
        <f t="shared" si="48"/>
        <v>7</v>
      </c>
      <c r="AD300" s="60">
        <f t="shared" si="57"/>
        <v>46501</v>
      </c>
      <c r="AE300">
        <f t="shared" si="49"/>
        <v>40</v>
      </c>
      <c r="AF300">
        <f t="shared" si="50"/>
        <v>40</v>
      </c>
      <c r="AG300">
        <f t="shared" si="51"/>
        <v>30</v>
      </c>
      <c r="AH300">
        <f t="shared" si="52"/>
        <v>30</v>
      </c>
      <c r="AI300">
        <f t="shared" si="53"/>
        <v>30</v>
      </c>
      <c r="AJ300"/>
    </row>
    <row r="301" spans="15:36" x14ac:dyDescent="0.25">
      <c r="O301" s="60">
        <f t="shared" si="56"/>
        <v>46502</v>
      </c>
      <c r="P301" s="121">
        <f t="shared" si="54"/>
        <v>1</v>
      </c>
      <c r="Q301" s="189" t="str">
        <f t="shared" si="58"/>
        <v/>
      </c>
      <c r="R301" s="189" t="str">
        <f t="shared" si="58"/>
        <v/>
      </c>
      <c r="S301" s="189" t="str">
        <f t="shared" si="58"/>
        <v/>
      </c>
      <c r="T301" s="189" t="str">
        <f t="shared" si="58"/>
        <v/>
      </c>
      <c r="U301" s="189" t="str">
        <f t="shared" si="58"/>
        <v/>
      </c>
      <c r="V301" s="60">
        <f t="shared" si="55"/>
        <v>46502</v>
      </c>
      <c r="W301" s="121">
        <f t="shared" si="48"/>
        <v>1</v>
      </c>
      <c r="AD301" s="60">
        <f t="shared" si="57"/>
        <v>46502</v>
      </c>
      <c r="AE301">
        <f t="shared" si="49"/>
        <v>40</v>
      </c>
      <c r="AF301">
        <f t="shared" si="50"/>
        <v>40</v>
      </c>
      <c r="AG301">
        <f t="shared" si="51"/>
        <v>30</v>
      </c>
      <c r="AH301">
        <f t="shared" si="52"/>
        <v>30</v>
      </c>
      <c r="AI301">
        <f t="shared" si="53"/>
        <v>30</v>
      </c>
      <c r="AJ301"/>
    </row>
    <row r="302" spans="15:36" x14ac:dyDescent="0.25">
      <c r="O302" s="60">
        <f t="shared" si="56"/>
        <v>46503</v>
      </c>
      <c r="P302" s="121">
        <f t="shared" si="54"/>
        <v>2</v>
      </c>
      <c r="Q302" s="189">
        <f t="shared" si="58"/>
        <v>1</v>
      </c>
      <c r="R302" s="189">
        <f t="shared" si="58"/>
        <v>1</v>
      </c>
      <c r="S302" s="189">
        <f t="shared" si="58"/>
        <v>1</v>
      </c>
      <c r="T302" s="189">
        <f t="shared" si="58"/>
        <v>1</v>
      </c>
      <c r="U302" s="189">
        <f t="shared" si="58"/>
        <v>1</v>
      </c>
      <c r="V302" s="60">
        <f t="shared" si="55"/>
        <v>46503</v>
      </c>
      <c r="W302" s="121">
        <f t="shared" si="48"/>
        <v>2</v>
      </c>
      <c r="AC302" t="s">
        <v>264</v>
      </c>
      <c r="AD302" s="60">
        <f t="shared" si="57"/>
        <v>46503</v>
      </c>
      <c r="AE302">
        <f t="shared" si="49"/>
        <v>39</v>
      </c>
      <c r="AF302">
        <f t="shared" si="50"/>
        <v>39</v>
      </c>
      <c r="AG302">
        <f t="shared" si="51"/>
        <v>29</v>
      </c>
      <c r="AH302">
        <f t="shared" si="52"/>
        <v>29</v>
      </c>
      <c r="AI302">
        <f t="shared" si="53"/>
        <v>29</v>
      </c>
      <c r="AJ302"/>
    </row>
    <row r="303" spans="15:36" x14ac:dyDescent="0.25">
      <c r="O303" s="60">
        <f t="shared" si="56"/>
        <v>46504</v>
      </c>
      <c r="P303" s="121">
        <f t="shared" si="54"/>
        <v>3</v>
      </c>
      <c r="Q303" s="189">
        <f t="shared" si="58"/>
        <v>1</v>
      </c>
      <c r="R303" s="189">
        <f t="shared" si="58"/>
        <v>1</v>
      </c>
      <c r="S303" s="189">
        <f t="shared" si="58"/>
        <v>1</v>
      </c>
      <c r="T303" s="189">
        <f t="shared" si="58"/>
        <v>1</v>
      </c>
      <c r="U303" s="189">
        <f t="shared" si="58"/>
        <v>1</v>
      </c>
      <c r="V303" s="60">
        <f t="shared" si="55"/>
        <v>46504</v>
      </c>
      <c r="W303" s="121">
        <f t="shared" si="48"/>
        <v>3</v>
      </c>
      <c r="AC303" t="s">
        <v>261</v>
      </c>
      <c r="AD303" s="60">
        <f t="shared" si="57"/>
        <v>46504</v>
      </c>
      <c r="AE303">
        <f t="shared" si="49"/>
        <v>38</v>
      </c>
      <c r="AF303">
        <f t="shared" si="50"/>
        <v>38</v>
      </c>
      <c r="AG303">
        <f t="shared" si="51"/>
        <v>28</v>
      </c>
      <c r="AH303">
        <f t="shared" si="52"/>
        <v>28</v>
      </c>
      <c r="AI303">
        <f t="shared" si="53"/>
        <v>28</v>
      </c>
      <c r="AJ303"/>
    </row>
    <row r="304" spans="15:36" x14ac:dyDescent="0.25">
      <c r="O304" s="60">
        <f t="shared" si="56"/>
        <v>46505</v>
      </c>
      <c r="P304" s="121">
        <f t="shared" si="54"/>
        <v>4</v>
      </c>
      <c r="Q304" s="189">
        <f t="shared" si="58"/>
        <v>1</v>
      </c>
      <c r="R304" s="189">
        <f t="shared" si="58"/>
        <v>1</v>
      </c>
      <c r="S304" s="189">
        <f t="shared" si="58"/>
        <v>1</v>
      </c>
      <c r="T304" s="189">
        <f t="shared" si="58"/>
        <v>1</v>
      </c>
      <c r="U304" s="189">
        <f t="shared" si="58"/>
        <v>1</v>
      </c>
      <c r="V304" s="60">
        <f t="shared" si="55"/>
        <v>46505</v>
      </c>
      <c r="W304" s="121">
        <f t="shared" si="48"/>
        <v>4</v>
      </c>
      <c r="AC304" t="s">
        <v>264</v>
      </c>
      <c r="AD304" s="60">
        <f t="shared" si="57"/>
        <v>46505</v>
      </c>
      <c r="AE304">
        <f t="shared" si="49"/>
        <v>37</v>
      </c>
      <c r="AF304">
        <f t="shared" si="50"/>
        <v>37</v>
      </c>
      <c r="AG304">
        <f t="shared" si="51"/>
        <v>27</v>
      </c>
      <c r="AH304">
        <f t="shared" si="52"/>
        <v>27</v>
      </c>
      <c r="AI304">
        <f t="shared" si="53"/>
        <v>27</v>
      </c>
      <c r="AJ304"/>
    </row>
    <row r="305" spans="15:36" x14ac:dyDescent="0.25">
      <c r="O305" s="60">
        <f t="shared" si="56"/>
        <v>46506</v>
      </c>
      <c r="P305" s="121">
        <f t="shared" si="54"/>
        <v>5</v>
      </c>
      <c r="Q305" s="189">
        <f t="shared" si="58"/>
        <v>1</v>
      </c>
      <c r="R305" s="189">
        <f t="shared" si="58"/>
        <v>1</v>
      </c>
      <c r="S305" s="189">
        <f t="shared" si="58"/>
        <v>1</v>
      </c>
      <c r="T305" s="189">
        <f t="shared" si="58"/>
        <v>1</v>
      </c>
      <c r="U305" s="189">
        <f t="shared" si="58"/>
        <v>1</v>
      </c>
      <c r="V305" s="60">
        <f t="shared" si="55"/>
        <v>46506</v>
      </c>
      <c r="W305" s="121">
        <f t="shared" si="48"/>
        <v>5</v>
      </c>
      <c r="AC305" t="s">
        <v>261</v>
      </c>
      <c r="AD305" s="60">
        <f t="shared" si="57"/>
        <v>46506</v>
      </c>
      <c r="AE305">
        <f t="shared" si="49"/>
        <v>36</v>
      </c>
      <c r="AF305">
        <f t="shared" si="50"/>
        <v>36</v>
      </c>
      <c r="AG305">
        <f t="shared" si="51"/>
        <v>26</v>
      </c>
      <c r="AH305">
        <f t="shared" si="52"/>
        <v>26</v>
      </c>
      <c r="AI305">
        <f t="shared" si="53"/>
        <v>26</v>
      </c>
      <c r="AJ305"/>
    </row>
    <row r="306" spans="15:36" x14ac:dyDescent="0.25">
      <c r="O306" s="60">
        <f t="shared" si="56"/>
        <v>46507</v>
      </c>
      <c r="P306" s="121">
        <f t="shared" si="54"/>
        <v>6</v>
      </c>
      <c r="Q306" s="189">
        <f t="shared" si="58"/>
        <v>1</v>
      </c>
      <c r="R306" s="189">
        <f t="shared" si="58"/>
        <v>1</v>
      </c>
      <c r="S306" s="189">
        <f t="shared" si="58"/>
        <v>1</v>
      </c>
      <c r="T306" s="189">
        <f t="shared" si="58"/>
        <v>1</v>
      </c>
      <c r="U306" s="189">
        <f t="shared" si="58"/>
        <v>1</v>
      </c>
      <c r="V306" s="60">
        <f t="shared" si="55"/>
        <v>46507</v>
      </c>
      <c r="W306" s="121">
        <f t="shared" si="48"/>
        <v>6</v>
      </c>
      <c r="AC306" t="s">
        <v>264</v>
      </c>
      <c r="AD306" s="60">
        <f t="shared" si="57"/>
        <v>46507</v>
      </c>
      <c r="AE306">
        <f t="shared" si="49"/>
        <v>35</v>
      </c>
      <c r="AF306">
        <f t="shared" si="50"/>
        <v>35</v>
      </c>
      <c r="AG306">
        <f t="shared" si="51"/>
        <v>25</v>
      </c>
      <c r="AH306">
        <f t="shared" si="52"/>
        <v>25</v>
      </c>
      <c r="AI306">
        <f t="shared" si="53"/>
        <v>25</v>
      </c>
      <c r="AJ306"/>
    </row>
    <row r="307" spans="15:36" x14ac:dyDescent="0.25">
      <c r="O307" s="60">
        <f t="shared" si="56"/>
        <v>46508</v>
      </c>
      <c r="P307" s="121">
        <f t="shared" si="54"/>
        <v>7</v>
      </c>
      <c r="Q307" s="189" t="str">
        <f t="shared" ref="Q307:U357" si="59">IF(OR($P307=2,$P307=3,$P307=4,$P307=5,$P307=6),1,"")</f>
        <v/>
      </c>
      <c r="R307" s="189" t="str">
        <f t="shared" si="59"/>
        <v/>
      </c>
      <c r="S307" s="189" t="str">
        <f t="shared" si="59"/>
        <v/>
      </c>
      <c r="T307" s="189" t="str">
        <f t="shared" si="59"/>
        <v/>
      </c>
      <c r="U307" s="189" t="str">
        <f t="shared" si="59"/>
        <v/>
      </c>
      <c r="V307" s="60">
        <f t="shared" si="55"/>
        <v>46508</v>
      </c>
      <c r="W307" s="121">
        <f t="shared" si="48"/>
        <v>7</v>
      </c>
      <c r="AD307" s="60">
        <f t="shared" si="57"/>
        <v>46508</v>
      </c>
      <c r="AE307">
        <f t="shared" si="49"/>
        <v>35</v>
      </c>
      <c r="AF307">
        <f t="shared" si="50"/>
        <v>35</v>
      </c>
      <c r="AG307">
        <f t="shared" si="51"/>
        <v>25</v>
      </c>
      <c r="AH307">
        <f t="shared" si="52"/>
        <v>25</v>
      </c>
      <c r="AI307">
        <f t="shared" si="53"/>
        <v>25</v>
      </c>
      <c r="AJ307"/>
    </row>
    <row r="308" spans="15:36" x14ac:dyDescent="0.25">
      <c r="O308" s="60">
        <f t="shared" si="56"/>
        <v>46509</v>
      </c>
      <c r="P308" s="121">
        <f t="shared" si="54"/>
        <v>1</v>
      </c>
      <c r="Q308" s="189" t="str">
        <f t="shared" si="59"/>
        <v/>
      </c>
      <c r="R308" s="189" t="str">
        <f t="shared" si="59"/>
        <v/>
      </c>
      <c r="S308" s="189" t="str">
        <f t="shared" si="59"/>
        <v/>
      </c>
      <c r="T308" s="189" t="str">
        <f t="shared" si="59"/>
        <v/>
      </c>
      <c r="U308" s="189" t="str">
        <f t="shared" si="59"/>
        <v/>
      </c>
      <c r="V308" s="60">
        <f t="shared" si="55"/>
        <v>46509</v>
      </c>
      <c r="W308" s="121">
        <f t="shared" si="48"/>
        <v>1</v>
      </c>
      <c r="AD308" s="60">
        <f t="shared" si="57"/>
        <v>46509</v>
      </c>
      <c r="AE308">
        <f t="shared" si="49"/>
        <v>35</v>
      </c>
      <c r="AF308">
        <f t="shared" si="50"/>
        <v>35</v>
      </c>
      <c r="AG308">
        <f t="shared" si="51"/>
        <v>25</v>
      </c>
      <c r="AH308">
        <f t="shared" si="52"/>
        <v>25</v>
      </c>
      <c r="AI308">
        <f t="shared" si="53"/>
        <v>25</v>
      </c>
      <c r="AJ308"/>
    </row>
    <row r="309" spans="15:36" x14ac:dyDescent="0.25">
      <c r="O309" s="60">
        <f t="shared" si="56"/>
        <v>46510</v>
      </c>
      <c r="P309" s="121">
        <f t="shared" si="54"/>
        <v>2</v>
      </c>
      <c r="Q309" s="189">
        <f t="shared" si="59"/>
        <v>1</v>
      </c>
      <c r="R309" s="189">
        <f t="shared" si="59"/>
        <v>1</v>
      </c>
      <c r="S309" s="189">
        <f t="shared" si="59"/>
        <v>1</v>
      </c>
      <c r="T309" s="189">
        <f t="shared" si="59"/>
        <v>1</v>
      </c>
      <c r="U309" s="189">
        <f t="shared" si="59"/>
        <v>1</v>
      </c>
      <c r="V309" s="60">
        <f t="shared" si="55"/>
        <v>46510</v>
      </c>
      <c r="W309" s="121">
        <f t="shared" si="48"/>
        <v>2</v>
      </c>
      <c r="AC309" t="s">
        <v>261</v>
      </c>
      <c r="AD309" s="60">
        <f t="shared" si="57"/>
        <v>46510</v>
      </c>
      <c r="AE309">
        <f t="shared" si="49"/>
        <v>34</v>
      </c>
      <c r="AF309">
        <f t="shared" si="50"/>
        <v>34</v>
      </c>
      <c r="AG309">
        <f t="shared" si="51"/>
        <v>24</v>
      </c>
      <c r="AH309">
        <f t="shared" si="52"/>
        <v>24</v>
      </c>
      <c r="AI309">
        <f t="shared" si="53"/>
        <v>24</v>
      </c>
      <c r="AJ309"/>
    </row>
    <row r="310" spans="15:36" x14ac:dyDescent="0.25">
      <c r="O310" s="60">
        <f t="shared" si="56"/>
        <v>46511</v>
      </c>
      <c r="P310" s="121">
        <f t="shared" si="54"/>
        <v>3</v>
      </c>
      <c r="Q310" s="189">
        <f t="shared" si="59"/>
        <v>1</v>
      </c>
      <c r="R310" s="189">
        <f t="shared" si="59"/>
        <v>1</v>
      </c>
      <c r="S310" s="189">
        <f t="shared" si="59"/>
        <v>1</v>
      </c>
      <c r="T310" s="189">
        <f t="shared" si="59"/>
        <v>1</v>
      </c>
      <c r="U310" s="189">
        <f t="shared" si="59"/>
        <v>1</v>
      </c>
      <c r="V310" s="60">
        <f t="shared" si="55"/>
        <v>46511</v>
      </c>
      <c r="W310" s="121">
        <f t="shared" si="48"/>
        <v>3</v>
      </c>
      <c r="AC310" t="s">
        <v>264</v>
      </c>
      <c r="AD310" s="60">
        <f t="shared" si="57"/>
        <v>46511</v>
      </c>
      <c r="AE310">
        <f t="shared" si="49"/>
        <v>33</v>
      </c>
      <c r="AF310">
        <f t="shared" si="50"/>
        <v>33</v>
      </c>
      <c r="AG310">
        <f t="shared" si="51"/>
        <v>23</v>
      </c>
      <c r="AH310">
        <f t="shared" si="52"/>
        <v>23</v>
      </c>
      <c r="AI310">
        <f t="shared" si="53"/>
        <v>23</v>
      </c>
      <c r="AJ310"/>
    </row>
    <row r="311" spans="15:36" x14ac:dyDescent="0.25">
      <c r="O311" s="60">
        <f t="shared" si="56"/>
        <v>46512</v>
      </c>
      <c r="P311" s="121">
        <f t="shared" si="54"/>
        <v>4</v>
      </c>
      <c r="Q311" s="189">
        <f t="shared" si="59"/>
        <v>1</v>
      </c>
      <c r="R311" s="189">
        <f t="shared" si="59"/>
        <v>1</v>
      </c>
      <c r="S311" s="189">
        <f t="shared" si="59"/>
        <v>1</v>
      </c>
      <c r="T311" s="189">
        <f t="shared" si="59"/>
        <v>1</v>
      </c>
      <c r="U311" s="189">
        <f t="shared" si="59"/>
        <v>1</v>
      </c>
      <c r="V311" s="60">
        <f t="shared" si="55"/>
        <v>46512</v>
      </c>
      <c r="W311" s="121">
        <f t="shared" si="48"/>
        <v>4</v>
      </c>
      <c r="AC311" t="s">
        <v>261</v>
      </c>
      <c r="AD311" s="60">
        <f t="shared" si="57"/>
        <v>46512</v>
      </c>
      <c r="AE311">
        <f t="shared" si="49"/>
        <v>32</v>
      </c>
      <c r="AF311">
        <f t="shared" si="50"/>
        <v>32</v>
      </c>
      <c r="AG311">
        <f t="shared" si="51"/>
        <v>22</v>
      </c>
      <c r="AH311">
        <f t="shared" si="52"/>
        <v>22</v>
      </c>
      <c r="AI311">
        <f t="shared" si="53"/>
        <v>22</v>
      </c>
      <c r="AJ311"/>
    </row>
    <row r="312" spans="15:36" x14ac:dyDescent="0.25">
      <c r="O312" s="60">
        <f t="shared" si="56"/>
        <v>46513</v>
      </c>
      <c r="P312" s="121">
        <f t="shared" si="54"/>
        <v>5</v>
      </c>
      <c r="Q312" s="189">
        <f t="shared" si="59"/>
        <v>1</v>
      </c>
      <c r="R312" s="189">
        <f t="shared" si="59"/>
        <v>1</v>
      </c>
      <c r="S312" s="189">
        <f t="shared" si="59"/>
        <v>1</v>
      </c>
      <c r="T312" s="189">
        <f t="shared" si="59"/>
        <v>1</v>
      </c>
      <c r="U312" s="189">
        <f t="shared" si="59"/>
        <v>1</v>
      </c>
      <c r="V312" s="60">
        <f t="shared" si="55"/>
        <v>46513</v>
      </c>
      <c r="W312" s="121">
        <f t="shared" si="48"/>
        <v>5</v>
      </c>
      <c r="AC312" t="s">
        <v>264</v>
      </c>
      <c r="AD312" s="60">
        <f t="shared" si="57"/>
        <v>46513</v>
      </c>
      <c r="AE312">
        <f t="shared" si="49"/>
        <v>31</v>
      </c>
      <c r="AF312">
        <f t="shared" si="50"/>
        <v>31</v>
      </c>
      <c r="AG312">
        <f t="shared" si="51"/>
        <v>21</v>
      </c>
      <c r="AH312">
        <f t="shared" si="52"/>
        <v>21</v>
      </c>
      <c r="AI312">
        <f t="shared" si="53"/>
        <v>21</v>
      </c>
      <c r="AJ312"/>
    </row>
    <row r="313" spans="15:36" x14ac:dyDescent="0.25">
      <c r="O313" s="60">
        <f t="shared" si="56"/>
        <v>46514</v>
      </c>
      <c r="P313" s="121">
        <f t="shared" si="54"/>
        <v>6</v>
      </c>
      <c r="Q313" s="189">
        <f t="shared" si="59"/>
        <v>1</v>
      </c>
      <c r="R313" s="189">
        <f t="shared" si="59"/>
        <v>1</v>
      </c>
      <c r="S313" s="189">
        <f t="shared" si="59"/>
        <v>1</v>
      </c>
      <c r="T313" s="189">
        <f t="shared" si="59"/>
        <v>1</v>
      </c>
      <c r="U313" s="189">
        <f t="shared" si="59"/>
        <v>1</v>
      </c>
      <c r="V313" s="60">
        <f t="shared" si="55"/>
        <v>46514</v>
      </c>
      <c r="W313" s="121">
        <f t="shared" si="48"/>
        <v>6</v>
      </c>
      <c r="AC313" t="s">
        <v>261</v>
      </c>
      <c r="AD313" s="60">
        <f t="shared" si="57"/>
        <v>46514</v>
      </c>
      <c r="AE313">
        <f t="shared" si="49"/>
        <v>30</v>
      </c>
      <c r="AF313">
        <f t="shared" si="50"/>
        <v>30</v>
      </c>
      <c r="AG313">
        <f t="shared" si="51"/>
        <v>20</v>
      </c>
      <c r="AH313">
        <f t="shared" si="52"/>
        <v>20</v>
      </c>
      <c r="AI313">
        <f t="shared" si="53"/>
        <v>20</v>
      </c>
      <c r="AJ313"/>
    </row>
    <row r="314" spans="15:36" x14ac:dyDescent="0.25">
      <c r="O314" s="60">
        <f t="shared" si="56"/>
        <v>46515</v>
      </c>
      <c r="P314" s="121">
        <f t="shared" si="54"/>
        <v>7</v>
      </c>
      <c r="Q314" s="189" t="str">
        <f t="shared" si="59"/>
        <v/>
      </c>
      <c r="R314" s="189" t="str">
        <f t="shared" si="59"/>
        <v/>
      </c>
      <c r="S314" s="189" t="str">
        <f t="shared" si="59"/>
        <v/>
      </c>
      <c r="T314" s="189" t="str">
        <f t="shared" si="59"/>
        <v/>
      </c>
      <c r="U314" s="189" t="str">
        <f t="shared" si="59"/>
        <v/>
      </c>
      <c r="V314" s="60">
        <f t="shared" si="55"/>
        <v>46515</v>
      </c>
      <c r="W314" s="121">
        <f t="shared" si="48"/>
        <v>7</v>
      </c>
      <c r="AD314" s="60">
        <f t="shared" si="57"/>
        <v>46515</v>
      </c>
      <c r="AE314">
        <f t="shared" si="49"/>
        <v>30</v>
      </c>
      <c r="AF314">
        <f t="shared" si="50"/>
        <v>30</v>
      </c>
      <c r="AG314">
        <f t="shared" si="51"/>
        <v>20</v>
      </c>
      <c r="AH314">
        <f t="shared" si="52"/>
        <v>20</v>
      </c>
      <c r="AI314">
        <f t="shared" si="53"/>
        <v>20</v>
      </c>
      <c r="AJ314"/>
    </row>
    <row r="315" spans="15:36" x14ac:dyDescent="0.25">
      <c r="O315" s="60">
        <f t="shared" si="56"/>
        <v>46516</v>
      </c>
      <c r="P315" s="121">
        <f t="shared" si="54"/>
        <v>1</v>
      </c>
      <c r="Q315" s="189" t="str">
        <f t="shared" si="59"/>
        <v/>
      </c>
      <c r="R315" s="189" t="str">
        <f t="shared" si="59"/>
        <v/>
      </c>
      <c r="S315" s="189" t="str">
        <f t="shared" si="59"/>
        <v/>
      </c>
      <c r="T315" s="189" t="str">
        <f t="shared" si="59"/>
        <v/>
      </c>
      <c r="U315" s="189" t="str">
        <f t="shared" si="59"/>
        <v/>
      </c>
      <c r="V315" s="60">
        <f t="shared" si="55"/>
        <v>46516</v>
      </c>
      <c r="W315" s="121">
        <f t="shared" si="48"/>
        <v>1</v>
      </c>
      <c r="AD315" s="60">
        <f t="shared" si="57"/>
        <v>46516</v>
      </c>
      <c r="AE315">
        <f t="shared" si="49"/>
        <v>30</v>
      </c>
      <c r="AF315">
        <f t="shared" si="50"/>
        <v>30</v>
      </c>
      <c r="AG315">
        <f t="shared" si="51"/>
        <v>20</v>
      </c>
      <c r="AH315">
        <f t="shared" si="52"/>
        <v>20</v>
      </c>
      <c r="AI315">
        <f t="shared" si="53"/>
        <v>20</v>
      </c>
      <c r="AJ315"/>
    </row>
    <row r="316" spans="15:36" x14ac:dyDescent="0.25">
      <c r="O316" s="60">
        <f t="shared" si="56"/>
        <v>46517</v>
      </c>
      <c r="P316" s="121">
        <f t="shared" si="54"/>
        <v>2</v>
      </c>
      <c r="Q316" s="189">
        <f t="shared" si="59"/>
        <v>1</v>
      </c>
      <c r="R316" s="189">
        <f t="shared" si="59"/>
        <v>1</v>
      </c>
      <c r="S316" s="189">
        <f t="shared" si="59"/>
        <v>1</v>
      </c>
      <c r="T316" s="189">
        <f t="shared" si="59"/>
        <v>1</v>
      </c>
      <c r="U316" s="189">
        <f t="shared" si="59"/>
        <v>1</v>
      </c>
      <c r="V316" s="60">
        <f t="shared" si="55"/>
        <v>46517</v>
      </c>
      <c r="W316" s="121">
        <f t="shared" si="48"/>
        <v>2</v>
      </c>
      <c r="AC316" t="s">
        <v>264</v>
      </c>
      <c r="AD316" s="60">
        <f t="shared" si="57"/>
        <v>46517</v>
      </c>
      <c r="AE316">
        <f t="shared" si="49"/>
        <v>29</v>
      </c>
      <c r="AF316">
        <f t="shared" si="50"/>
        <v>29</v>
      </c>
      <c r="AG316">
        <f t="shared" si="51"/>
        <v>19</v>
      </c>
      <c r="AH316">
        <f t="shared" si="52"/>
        <v>19</v>
      </c>
      <c r="AI316">
        <f t="shared" si="53"/>
        <v>19</v>
      </c>
      <c r="AJ316"/>
    </row>
    <row r="317" spans="15:36" x14ac:dyDescent="0.25">
      <c r="O317" s="60">
        <f t="shared" si="56"/>
        <v>46518</v>
      </c>
      <c r="P317" s="121">
        <f t="shared" si="54"/>
        <v>3</v>
      </c>
      <c r="Q317" s="189">
        <f t="shared" si="59"/>
        <v>1</v>
      </c>
      <c r="R317" s="189">
        <f t="shared" si="59"/>
        <v>1</v>
      </c>
      <c r="S317" s="189">
        <f t="shared" si="59"/>
        <v>1</v>
      </c>
      <c r="T317" s="189">
        <f t="shared" si="59"/>
        <v>1</v>
      </c>
      <c r="U317" s="189">
        <f t="shared" si="59"/>
        <v>1</v>
      </c>
      <c r="V317" s="60">
        <f t="shared" si="55"/>
        <v>46518</v>
      </c>
      <c r="W317" s="121">
        <f t="shared" si="48"/>
        <v>3</v>
      </c>
      <c r="AC317" t="s">
        <v>261</v>
      </c>
      <c r="AD317" s="60">
        <f t="shared" si="57"/>
        <v>46518</v>
      </c>
      <c r="AE317">
        <f t="shared" si="49"/>
        <v>28</v>
      </c>
      <c r="AF317">
        <f t="shared" si="50"/>
        <v>28</v>
      </c>
      <c r="AG317">
        <f t="shared" si="51"/>
        <v>18</v>
      </c>
      <c r="AH317">
        <f t="shared" si="52"/>
        <v>18</v>
      </c>
      <c r="AI317">
        <f t="shared" si="53"/>
        <v>18</v>
      </c>
      <c r="AJ317"/>
    </row>
    <row r="318" spans="15:36" x14ac:dyDescent="0.25">
      <c r="O318" s="60">
        <f t="shared" si="56"/>
        <v>46519</v>
      </c>
      <c r="P318" s="121">
        <f t="shared" si="54"/>
        <v>4</v>
      </c>
      <c r="Q318" s="189">
        <f t="shared" si="59"/>
        <v>1</v>
      </c>
      <c r="R318" s="189">
        <f t="shared" si="59"/>
        <v>1</v>
      </c>
      <c r="S318" s="189">
        <f t="shared" si="59"/>
        <v>1</v>
      </c>
      <c r="T318" s="189">
        <f t="shared" si="59"/>
        <v>1</v>
      </c>
      <c r="U318" s="189">
        <f t="shared" si="59"/>
        <v>1</v>
      </c>
      <c r="V318" s="60">
        <f t="shared" si="55"/>
        <v>46519</v>
      </c>
      <c r="W318" s="121">
        <f t="shared" si="48"/>
        <v>4</v>
      </c>
      <c r="AC318" t="s">
        <v>264</v>
      </c>
      <c r="AD318" s="60">
        <f t="shared" si="57"/>
        <v>46519</v>
      </c>
      <c r="AE318">
        <f t="shared" si="49"/>
        <v>27</v>
      </c>
      <c r="AF318">
        <f t="shared" si="50"/>
        <v>27</v>
      </c>
      <c r="AG318">
        <f t="shared" si="51"/>
        <v>17</v>
      </c>
      <c r="AH318">
        <f t="shared" si="52"/>
        <v>17</v>
      </c>
      <c r="AI318">
        <f t="shared" si="53"/>
        <v>17</v>
      </c>
      <c r="AJ318"/>
    </row>
    <row r="319" spans="15:36" x14ac:dyDescent="0.25">
      <c r="O319" s="60">
        <f t="shared" si="56"/>
        <v>46520</v>
      </c>
      <c r="P319" s="121">
        <f t="shared" si="54"/>
        <v>5</v>
      </c>
      <c r="Q319" s="189">
        <f t="shared" si="59"/>
        <v>1</v>
      </c>
      <c r="R319" s="189">
        <f t="shared" si="59"/>
        <v>1</v>
      </c>
      <c r="S319" s="189">
        <f t="shared" si="59"/>
        <v>1</v>
      </c>
      <c r="T319" s="189">
        <f t="shared" si="59"/>
        <v>1</v>
      </c>
      <c r="U319" s="189">
        <f t="shared" si="59"/>
        <v>1</v>
      </c>
      <c r="V319" s="60">
        <f t="shared" si="55"/>
        <v>46520</v>
      </c>
      <c r="W319" s="121">
        <f t="shared" si="48"/>
        <v>5</v>
      </c>
      <c r="AC319" t="s">
        <v>261</v>
      </c>
      <c r="AD319" s="60">
        <f t="shared" si="57"/>
        <v>46520</v>
      </c>
      <c r="AE319">
        <f t="shared" si="49"/>
        <v>26</v>
      </c>
      <c r="AF319">
        <f t="shared" si="50"/>
        <v>26</v>
      </c>
      <c r="AG319">
        <f t="shared" si="51"/>
        <v>16</v>
      </c>
      <c r="AH319">
        <f t="shared" si="52"/>
        <v>16</v>
      </c>
      <c r="AI319">
        <f t="shared" si="53"/>
        <v>16</v>
      </c>
      <c r="AJ319"/>
    </row>
    <row r="320" spans="15:36" x14ac:dyDescent="0.25">
      <c r="O320" s="60">
        <f t="shared" si="56"/>
        <v>46521</v>
      </c>
      <c r="P320" s="121">
        <f t="shared" si="54"/>
        <v>6</v>
      </c>
      <c r="Q320" s="189">
        <f t="shared" si="59"/>
        <v>1</v>
      </c>
      <c r="R320" s="189">
        <f t="shared" si="59"/>
        <v>1</v>
      </c>
      <c r="S320" s="189">
        <f t="shared" si="59"/>
        <v>1</v>
      </c>
      <c r="T320" s="189">
        <f t="shared" si="59"/>
        <v>1</v>
      </c>
      <c r="U320" s="189">
        <f t="shared" si="59"/>
        <v>1</v>
      </c>
      <c r="V320" s="60">
        <f t="shared" si="55"/>
        <v>46521</v>
      </c>
      <c r="W320" s="121">
        <f t="shared" si="48"/>
        <v>6</v>
      </c>
      <c r="AC320" t="s">
        <v>264</v>
      </c>
      <c r="AD320" s="60">
        <f t="shared" si="57"/>
        <v>46521</v>
      </c>
      <c r="AE320">
        <f t="shared" si="49"/>
        <v>25</v>
      </c>
      <c r="AF320">
        <f t="shared" si="50"/>
        <v>25</v>
      </c>
      <c r="AG320">
        <f t="shared" si="51"/>
        <v>15</v>
      </c>
      <c r="AH320">
        <f t="shared" si="52"/>
        <v>15</v>
      </c>
      <c r="AI320">
        <f t="shared" si="53"/>
        <v>15</v>
      </c>
      <c r="AJ320"/>
    </row>
    <row r="321" spans="15:36" x14ac:dyDescent="0.25">
      <c r="O321" s="60">
        <f t="shared" si="56"/>
        <v>46522</v>
      </c>
      <c r="P321" s="121">
        <f t="shared" si="54"/>
        <v>7</v>
      </c>
      <c r="Q321" s="189" t="str">
        <f t="shared" si="59"/>
        <v/>
      </c>
      <c r="R321" s="189" t="str">
        <f t="shared" si="59"/>
        <v/>
      </c>
      <c r="S321" s="189" t="str">
        <f t="shared" si="59"/>
        <v/>
      </c>
      <c r="T321" s="189" t="str">
        <f t="shared" si="59"/>
        <v/>
      </c>
      <c r="U321" s="189" t="str">
        <f t="shared" si="59"/>
        <v/>
      </c>
      <c r="V321" s="60">
        <f t="shared" si="55"/>
        <v>46522</v>
      </c>
      <c r="W321" s="121">
        <f t="shared" si="48"/>
        <v>7</v>
      </c>
      <c r="AD321" s="60">
        <f t="shared" si="57"/>
        <v>46522</v>
      </c>
      <c r="AE321">
        <f t="shared" si="49"/>
        <v>25</v>
      </c>
      <c r="AF321">
        <f t="shared" si="50"/>
        <v>25</v>
      </c>
      <c r="AG321">
        <f t="shared" si="51"/>
        <v>15</v>
      </c>
      <c r="AH321">
        <f t="shared" si="52"/>
        <v>15</v>
      </c>
      <c r="AI321">
        <f t="shared" si="53"/>
        <v>15</v>
      </c>
      <c r="AJ321"/>
    </row>
    <row r="322" spans="15:36" x14ac:dyDescent="0.25">
      <c r="O322" s="60">
        <f t="shared" si="56"/>
        <v>46523</v>
      </c>
      <c r="P322" s="121">
        <f t="shared" si="54"/>
        <v>1</v>
      </c>
      <c r="Q322" s="189" t="str">
        <f t="shared" si="59"/>
        <v/>
      </c>
      <c r="R322" s="189" t="str">
        <f t="shared" si="59"/>
        <v/>
      </c>
      <c r="S322" s="189" t="str">
        <f t="shared" si="59"/>
        <v/>
      </c>
      <c r="T322" s="189" t="str">
        <f t="shared" si="59"/>
        <v/>
      </c>
      <c r="U322" s="189" t="str">
        <f t="shared" si="59"/>
        <v/>
      </c>
      <c r="V322" s="60">
        <f t="shared" si="55"/>
        <v>46523</v>
      </c>
      <c r="W322" s="121">
        <f t="shared" si="48"/>
        <v>1</v>
      </c>
      <c r="AD322" s="60">
        <f t="shared" si="57"/>
        <v>46523</v>
      </c>
      <c r="AE322">
        <f t="shared" si="49"/>
        <v>25</v>
      </c>
      <c r="AF322">
        <f t="shared" si="50"/>
        <v>25</v>
      </c>
      <c r="AG322">
        <f t="shared" si="51"/>
        <v>15</v>
      </c>
      <c r="AH322">
        <f t="shared" si="52"/>
        <v>15</v>
      </c>
      <c r="AI322">
        <f t="shared" si="53"/>
        <v>15</v>
      </c>
      <c r="AJ322"/>
    </row>
    <row r="323" spans="15:36" x14ac:dyDescent="0.25">
      <c r="O323" s="60">
        <f t="shared" si="56"/>
        <v>46524</v>
      </c>
      <c r="P323" s="121">
        <f t="shared" si="54"/>
        <v>2</v>
      </c>
      <c r="Q323" s="189">
        <f t="shared" si="59"/>
        <v>1</v>
      </c>
      <c r="R323" s="189">
        <f t="shared" si="59"/>
        <v>1</v>
      </c>
      <c r="S323" s="189">
        <f t="shared" si="59"/>
        <v>1</v>
      </c>
      <c r="T323" s="189">
        <f t="shared" si="59"/>
        <v>1</v>
      </c>
      <c r="U323" s="189">
        <f t="shared" si="59"/>
        <v>1</v>
      </c>
      <c r="V323" s="60">
        <f t="shared" si="55"/>
        <v>46524</v>
      </c>
      <c r="W323" s="121">
        <f t="shared" ref="W323:W386" si="60">WEEKDAY(V323)</f>
        <v>2</v>
      </c>
      <c r="AC323" t="s">
        <v>261</v>
      </c>
      <c r="AD323" s="60">
        <f t="shared" si="57"/>
        <v>46524</v>
      </c>
      <c r="AE323">
        <f t="shared" ref="AE323:AE386" si="61">AE322-(IF(Q323=1,1,0))</f>
        <v>24</v>
      </c>
      <c r="AF323">
        <f t="shared" ref="AF323:AF386" si="62">AF322-(IF(R323=1,1,0))</f>
        <v>24</v>
      </c>
      <c r="AG323">
        <f t="shared" ref="AG323:AG386" si="63">AG322-(IF(S323=1,1,0))</f>
        <v>14</v>
      </c>
      <c r="AH323">
        <f t="shared" ref="AH323:AH386" si="64">AH322-(IF(T323=1,1,0))</f>
        <v>14</v>
      </c>
      <c r="AI323">
        <f t="shared" ref="AI323:AI386" si="65">AI322-(IF(U323=1,1,0))</f>
        <v>14</v>
      </c>
      <c r="AJ323"/>
    </row>
    <row r="324" spans="15:36" x14ac:dyDescent="0.25">
      <c r="O324" s="60">
        <f t="shared" si="56"/>
        <v>46525</v>
      </c>
      <c r="P324" s="121">
        <f t="shared" ref="P324:P387" si="66">WEEKDAY(O324)</f>
        <v>3</v>
      </c>
      <c r="Q324" s="189">
        <f t="shared" si="59"/>
        <v>1</v>
      </c>
      <c r="R324" s="189">
        <f t="shared" si="59"/>
        <v>1</v>
      </c>
      <c r="S324" s="189">
        <f t="shared" si="59"/>
        <v>1</v>
      </c>
      <c r="T324" s="189">
        <f t="shared" si="59"/>
        <v>1</v>
      </c>
      <c r="U324" s="189">
        <f t="shared" si="59"/>
        <v>1</v>
      </c>
      <c r="V324" s="60">
        <f t="shared" ref="V324:V387" si="67">V323+1</f>
        <v>46525</v>
      </c>
      <c r="W324" s="121">
        <f t="shared" si="60"/>
        <v>3</v>
      </c>
      <c r="AC324" t="s">
        <v>264</v>
      </c>
      <c r="AD324" s="60">
        <f t="shared" si="57"/>
        <v>46525</v>
      </c>
      <c r="AE324">
        <f t="shared" si="61"/>
        <v>23</v>
      </c>
      <c r="AF324">
        <f t="shared" si="62"/>
        <v>23</v>
      </c>
      <c r="AG324">
        <f t="shared" si="63"/>
        <v>13</v>
      </c>
      <c r="AH324">
        <f t="shared" si="64"/>
        <v>13</v>
      </c>
      <c r="AI324">
        <f t="shared" si="65"/>
        <v>13</v>
      </c>
      <c r="AJ324"/>
    </row>
    <row r="325" spans="15:36" x14ac:dyDescent="0.25">
      <c r="O325" s="60">
        <f t="shared" si="56"/>
        <v>46526</v>
      </c>
      <c r="P325" s="121">
        <f t="shared" si="66"/>
        <v>4</v>
      </c>
      <c r="Q325" s="189">
        <f t="shared" si="59"/>
        <v>1</v>
      </c>
      <c r="R325" s="189">
        <f t="shared" si="59"/>
        <v>1</v>
      </c>
      <c r="S325" s="189">
        <f t="shared" si="59"/>
        <v>1</v>
      </c>
      <c r="T325" s="189">
        <f t="shared" si="59"/>
        <v>1</v>
      </c>
      <c r="U325" s="189">
        <f t="shared" si="59"/>
        <v>1</v>
      </c>
      <c r="V325" s="60">
        <f t="shared" si="67"/>
        <v>46526</v>
      </c>
      <c r="W325" s="121">
        <f t="shared" si="60"/>
        <v>4</v>
      </c>
      <c r="AC325" t="s">
        <v>261</v>
      </c>
      <c r="AD325" s="60">
        <f t="shared" si="57"/>
        <v>46526</v>
      </c>
      <c r="AE325">
        <f t="shared" si="61"/>
        <v>22</v>
      </c>
      <c r="AF325">
        <f t="shared" si="62"/>
        <v>22</v>
      </c>
      <c r="AG325">
        <f t="shared" si="63"/>
        <v>12</v>
      </c>
      <c r="AH325">
        <f t="shared" si="64"/>
        <v>12</v>
      </c>
      <c r="AI325">
        <f t="shared" si="65"/>
        <v>12</v>
      </c>
      <c r="AJ325"/>
    </row>
    <row r="326" spans="15:36" x14ac:dyDescent="0.25">
      <c r="O326" s="60">
        <f t="shared" ref="O326:O389" si="68">O325+1</f>
        <v>46527</v>
      </c>
      <c r="P326" s="121">
        <f t="shared" si="66"/>
        <v>5</v>
      </c>
      <c r="Q326" s="189">
        <f t="shared" si="59"/>
        <v>1</v>
      </c>
      <c r="R326" s="189">
        <f t="shared" si="59"/>
        <v>1</v>
      </c>
      <c r="S326" s="189">
        <f t="shared" si="59"/>
        <v>1</v>
      </c>
      <c r="T326" s="189">
        <f t="shared" si="59"/>
        <v>1</v>
      </c>
      <c r="U326" s="189">
        <f t="shared" si="59"/>
        <v>1</v>
      </c>
      <c r="V326" s="60">
        <f t="shared" si="67"/>
        <v>46527</v>
      </c>
      <c r="W326" s="121">
        <f t="shared" si="60"/>
        <v>5</v>
      </c>
      <c r="AC326" t="s">
        <v>264</v>
      </c>
      <c r="AD326" s="60">
        <f t="shared" ref="AD326:AD389" si="69">AD325+1</f>
        <v>46527</v>
      </c>
      <c r="AE326">
        <f t="shared" si="61"/>
        <v>21</v>
      </c>
      <c r="AF326">
        <f t="shared" si="62"/>
        <v>21</v>
      </c>
      <c r="AG326">
        <f t="shared" si="63"/>
        <v>11</v>
      </c>
      <c r="AH326">
        <f t="shared" si="64"/>
        <v>11</v>
      </c>
      <c r="AI326">
        <f t="shared" si="65"/>
        <v>11</v>
      </c>
      <c r="AJ326"/>
    </row>
    <row r="327" spans="15:36" x14ac:dyDescent="0.25">
      <c r="O327" s="60">
        <f t="shared" si="68"/>
        <v>46528</v>
      </c>
      <c r="P327" s="121">
        <f t="shared" si="66"/>
        <v>6</v>
      </c>
      <c r="Q327" s="189">
        <f t="shared" si="59"/>
        <v>1</v>
      </c>
      <c r="R327" s="189">
        <f t="shared" si="59"/>
        <v>1</v>
      </c>
      <c r="S327" s="189">
        <f t="shared" si="59"/>
        <v>1</v>
      </c>
      <c r="T327" s="189">
        <f t="shared" si="59"/>
        <v>1</v>
      </c>
      <c r="U327" s="189">
        <f t="shared" si="59"/>
        <v>1</v>
      </c>
      <c r="V327" s="60">
        <f t="shared" si="67"/>
        <v>46528</v>
      </c>
      <c r="W327" s="121">
        <f t="shared" si="60"/>
        <v>6</v>
      </c>
      <c r="AC327" t="s">
        <v>261</v>
      </c>
      <c r="AD327" s="60">
        <f t="shared" si="69"/>
        <v>46528</v>
      </c>
      <c r="AE327">
        <f t="shared" si="61"/>
        <v>20</v>
      </c>
      <c r="AF327">
        <f t="shared" si="62"/>
        <v>20</v>
      </c>
      <c r="AG327">
        <f t="shared" si="63"/>
        <v>10</v>
      </c>
      <c r="AH327">
        <f t="shared" si="64"/>
        <v>10</v>
      </c>
      <c r="AI327">
        <f t="shared" si="65"/>
        <v>10</v>
      </c>
      <c r="AJ327"/>
    </row>
    <row r="328" spans="15:36" x14ac:dyDescent="0.25">
      <c r="O328" s="60">
        <f t="shared" si="68"/>
        <v>46529</v>
      </c>
      <c r="P328" s="121">
        <f t="shared" si="66"/>
        <v>7</v>
      </c>
      <c r="Q328" s="189" t="str">
        <f t="shared" si="59"/>
        <v/>
      </c>
      <c r="R328" s="189" t="str">
        <f t="shared" si="59"/>
        <v/>
      </c>
      <c r="S328" s="189" t="str">
        <f t="shared" si="59"/>
        <v/>
      </c>
      <c r="T328" s="189" t="str">
        <f t="shared" si="59"/>
        <v/>
      </c>
      <c r="U328" s="189" t="str">
        <f t="shared" si="59"/>
        <v/>
      </c>
      <c r="V328" s="60">
        <f t="shared" si="67"/>
        <v>46529</v>
      </c>
      <c r="W328" s="121">
        <f t="shared" si="60"/>
        <v>7</v>
      </c>
      <c r="AD328" s="60">
        <f t="shared" si="69"/>
        <v>46529</v>
      </c>
      <c r="AE328">
        <f t="shared" si="61"/>
        <v>20</v>
      </c>
      <c r="AF328">
        <f t="shared" si="62"/>
        <v>20</v>
      </c>
      <c r="AG328">
        <f t="shared" si="63"/>
        <v>10</v>
      </c>
      <c r="AH328">
        <f t="shared" si="64"/>
        <v>10</v>
      </c>
      <c r="AI328">
        <f t="shared" si="65"/>
        <v>10</v>
      </c>
      <c r="AJ328"/>
    </row>
    <row r="329" spans="15:36" x14ac:dyDescent="0.25">
      <c r="O329" s="60">
        <f t="shared" si="68"/>
        <v>46530</v>
      </c>
      <c r="P329" s="121">
        <f t="shared" si="66"/>
        <v>1</v>
      </c>
      <c r="Q329" s="189" t="str">
        <f t="shared" si="59"/>
        <v/>
      </c>
      <c r="R329" s="189" t="str">
        <f t="shared" si="59"/>
        <v/>
      </c>
      <c r="S329" s="189" t="str">
        <f t="shared" si="59"/>
        <v/>
      </c>
      <c r="T329" s="189" t="str">
        <f t="shared" si="59"/>
        <v/>
      </c>
      <c r="U329" s="189" t="str">
        <f t="shared" si="59"/>
        <v/>
      </c>
      <c r="V329" s="60">
        <f t="shared" si="67"/>
        <v>46530</v>
      </c>
      <c r="W329" s="121">
        <f t="shared" si="60"/>
        <v>1</v>
      </c>
      <c r="AD329" s="60">
        <f t="shared" si="69"/>
        <v>46530</v>
      </c>
      <c r="AE329">
        <f t="shared" si="61"/>
        <v>20</v>
      </c>
      <c r="AF329">
        <f t="shared" si="62"/>
        <v>20</v>
      </c>
      <c r="AG329">
        <f t="shared" si="63"/>
        <v>10</v>
      </c>
      <c r="AH329">
        <f t="shared" si="64"/>
        <v>10</v>
      </c>
      <c r="AI329">
        <f t="shared" si="65"/>
        <v>10</v>
      </c>
      <c r="AJ329"/>
    </row>
    <row r="330" spans="15:36" x14ac:dyDescent="0.25">
      <c r="O330" s="60">
        <f t="shared" si="68"/>
        <v>46531</v>
      </c>
      <c r="P330" s="121">
        <f t="shared" si="66"/>
        <v>2</v>
      </c>
      <c r="Q330" s="189">
        <f t="shared" si="59"/>
        <v>1</v>
      </c>
      <c r="R330" s="189">
        <f t="shared" si="59"/>
        <v>1</v>
      </c>
      <c r="S330" s="189">
        <f t="shared" si="59"/>
        <v>1</v>
      </c>
      <c r="T330" s="189">
        <f t="shared" si="59"/>
        <v>1</v>
      </c>
      <c r="U330" s="189">
        <f t="shared" si="59"/>
        <v>1</v>
      </c>
      <c r="V330" s="60">
        <f t="shared" si="67"/>
        <v>46531</v>
      </c>
      <c r="W330" s="121">
        <f t="shared" si="60"/>
        <v>2</v>
      </c>
      <c r="AC330" t="s">
        <v>264</v>
      </c>
      <c r="AD330" s="60">
        <f t="shared" si="69"/>
        <v>46531</v>
      </c>
      <c r="AE330">
        <f t="shared" si="61"/>
        <v>19</v>
      </c>
      <c r="AF330">
        <f t="shared" si="62"/>
        <v>19</v>
      </c>
      <c r="AG330">
        <f t="shared" si="63"/>
        <v>9</v>
      </c>
      <c r="AH330">
        <f t="shared" si="64"/>
        <v>9</v>
      </c>
      <c r="AI330">
        <f t="shared" si="65"/>
        <v>9</v>
      </c>
      <c r="AJ330"/>
    </row>
    <row r="331" spans="15:36" x14ac:dyDescent="0.25">
      <c r="O331" s="60">
        <f t="shared" si="68"/>
        <v>46532</v>
      </c>
      <c r="P331" s="121">
        <f t="shared" si="66"/>
        <v>3</v>
      </c>
      <c r="Q331" s="189">
        <f t="shared" si="59"/>
        <v>1</v>
      </c>
      <c r="R331" s="189">
        <f t="shared" si="59"/>
        <v>1</v>
      </c>
      <c r="S331" s="189">
        <f t="shared" si="59"/>
        <v>1</v>
      </c>
      <c r="T331" s="189">
        <f t="shared" si="59"/>
        <v>1</v>
      </c>
      <c r="U331" s="189">
        <f t="shared" si="59"/>
        <v>1</v>
      </c>
      <c r="V331" s="60">
        <f t="shared" si="67"/>
        <v>46532</v>
      </c>
      <c r="W331" s="121">
        <f t="shared" si="60"/>
        <v>3</v>
      </c>
      <c r="AC331" t="s">
        <v>261</v>
      </c>
      <c r="AD331" s="60">
        <f t="shared" si="69"/>
        <v>46532</v>
      </c>
      <c r="AE331">
        <f t="shared" si="61"/>
        <v>18</v>
      </c>
      <c r="AF331">
        <f t="shared" si="62"/>
        <v>18</v>
      </c>
      <c r="AG331">
        <f t="shared" si="63"/>
        <v>8</v>
      </c>
      <c r="AH331">
        <f t="shared" si="64"/>
        <v>8</v>
      </c>
      <c r="AI331">
        <f t="shared" si="65"/>
        <v>8</v>
      </c>
      <c r="AJ331"/>
    </row>
    <row r="332" spans="15:36" x14ac:dyDescent="0.25">
      <c r="O332" s="60">
        <f t="shared" si="68"/>
        <v>46533</v>
      </c>
      <c r="P332" s="121">
        <f t="shared" si="66"/>
        <v>4</v>
      </c>
      <c r="Q332" s="189">
        <f t="shared" si="59"/>
        <v>1</v>
      </c>
      <c r="R332" s="189">
        <f t="shared" si="59"/>
        <v>1</v>
      </c>
      <c r="S332" s="189">
        <f t="shared" si="59"/>
        <v>1</v>
      </c>
      <c r="T332" s="189">
        <f t="shared" si="59"/>
        <v>1</v>
      </c>
      <c r="U332" s="189">
        <f t="shared" si="59"/>
        <v>1</v>
      </c>
      <c r="V332" s="60">
        <f t="shared" si="67"/>
        <v>46533</v>
      </c>
      <c r="W332" s="121">
        <f t="shared" si="60"/>
        <v>4</v>
      </c>
      <c r="AC332" t="s">
        <v>264</v>
      </c>
      <c r="AD332" s="60">
        <f t="shared" si="69"/>
        <v>46533</v>
      </c>
      <c r="AE332">
        <f t="shared" si="61"/>
        <v>17</v>
      </c>
      <c r="AF332">
        <f t="shared" si="62"/>
        <v>17</v>
      </c>
      <c r="AG332">
        <f t="shared" si="63"/>
        <v>7</v>
      </c>
      <c r="AH332">
        <f t="shared" si="64"/>
        <v>7</v>
      </c>
      <c r="AI332">
        <f t="shared" si="65"/>
        <v>7</v>
      </c>
      <c r="AJ332"/>
    </row>
    <row r="333" spans="15:36" x14ac:dyDescent="0.25">
      <c r="O333" s="60">
        <f t="shared" si="68"/>
        <v>46534</v>
      </c>
      <c r="P333" s="121">
        <f t="shared" si="66"/>
        <v>5</v>
      </c>
      <c r="Q333" s="189">
        <f t="shared" si="59"/>
        <v>1</v>
      </c>
      <c r="R333" s="189">
        <f t="shared" si="59"/>
        <v>1</v>
      </c>
      <c r="S333" s="189">
        <f t="shared" si="59"/>
        <v>1</v>
      </c>
      <c r="T333" s="189">
        <f t="shared" si="59"/>
        <v>1</v>
      </c>
      <c r="U333" s="189">
        <f t="shared" si="59"/>
        <v>1</v>
      </c>
      <c r="V333" s="60">
        <f t="shared" si="67"/>
        <v>46534</v>
      </c>
      <c r="W333" s="121">
        <f t="shared" si="60"/>
        <v>5</v>
      </c>
      <c r="AC333" t="s">
        <v>261</v>
      </c>
      <c r="AD333" s="60">
        <f t="shared" si="69"/>
        <v>46534</v>
      </c>
      <c r="AE333">
        <f t="shared" si="61"/>
        <v>16</v>
      </c>
      <c r="AF333">
        <f t="shared" si="62"/>
        <v>16</v>
      </c>
      <c r="AG333">
        <f t="shared" si="63"/>
        <v>6</v>
      </c>
      <c r="AH333">
        <f t="shared" si="64"/>
        <v>6</v>
      </c>
      <c r="AI333">
        <f t="shared" si="65"/>
        <v>6</v>
      </c>
      <c r="AJ333"/>
    </row>
    <row r="334" spans="15:36" x14ac:dyDescent="0.25">
      <c r="O334" s="60">
        <f t="shared" si="68"/>
        <v>46535</v>
      </c>
      <c r="P334" s="121">
        <f t="shared" si="66"/>
        <v>6</v>
      </c>
      <c r="Q334" s="189">
        <f t="shared" si="59"/>
        <v>1</v>
      </c>
      <c r="R334" s="189">
        <f t="shared" si="59"/>
        <v>1</v>
      </c>
      <c r="S334" s="189">
        <f t="shared" si="59"/>
        <v>1</v>
      </c>
      <c r="T334" s="189">
        <f t="shared" si="59"/>
        <v>1</v>
      </c>
      <c r="U334" s="189">
        <f t="shared" si="59"/>
        <v>1</v>
      </c>
      <c r="V334" s="60">
        <f t="shared" si="67"/>
        <v>46535</v>
      </c>
      <c r="W334" s="121">
        <f t="shared" si="60"/>
        <v>6</v>
      </c>
      <c r="AC334" t="s">
        <v>264</v>
      </c>
      <c r="AD334" s="60">
        <f t="shared" si="69"/>
        <v>46535</v>
      </c>
      <c r="AE334">
        <f t="shared" si="61"/>
        <v>15</v>
      </c>
      <c r="AF334">
        <f t="shared" si="62"/>
        <v>15</v>
      </c>
      <c r="AG334">
        <f t="shared" si="63"/>
        <v>5</v>
      </c>
      <c r="AH334">
        <f t="shared" si="64"/>
        <v>5</v>
      </c>
      <c r="AI334">
        <f t="shared" si="65"/>
        <v>5</v>
      </c>
      <c r="AJ334"/>
    </row>
    <row r="335" spans="15:36" x14ac:dyDescent="0.25">
      <c r="O335" s="60">
        <f t="shared" si="68"/>
        <v>46536</v>
      </c>
      <c r="P335" s="121">
        <f t="shared" si="66"/>
        <v>7</v>
      </c>
      <c r="Q335" s="189" t="str">
        <f t="shared" si="59"/>
        <v/>
      </c>
      <c r="R335" s="189" t="str">
        <f t="shared" si="59"/>
        <v/>
      </c>
      <c r="S335" s="189" t="str">
        <f t="shared" si="59"/>
        <v/>
      </c>
      <c r="T335" s="189" t="str">
        <f t="shared" si="59"/>
        <v/>
      </c>
      <c r="U335" s="189" t="str">
        <f t="shared" si="59"/>
        <v/>
      </c>
      <c r="V335" s="60">
        <f t="shared" si="67"/>
        <v>46536</v>
      </c>
      <c r="W335" s="121">
        <f t="shared" si="60"/>
        <v>7</v>
      </c>
      <c r="AD335" s="60">
        <f t="shared" si="69"/>
        <v>46536</v>
      </c>
      <c r="AE335">
        <f t="shared" si="61"/>
        <v>15</v>
      </c>
      <c r="AF335">
        <f t="shared" si="62"/>
        <v>15</v>
      </c>
      <c r="AG335">
        <f t="shared" si="63"/>
        <v>5</v>
      </c>
      <c r="AH335">
        <f t="shared" si="64"/>
        <v>5</v>
      </c>
      <c r="AI335">
        <f t="shared" si="65"/>
        <v>5</v>
      </c>
      <c r="AJ335"/>
    </row>
    <row r="336" spans="15:36" x14ac:dyDescent="0.25">
      <c r="O336" s="60">
        <f t="shared" si="68"/>
        <v>46537</v>
      </c>
      <c r="P336" s="121">
        <f t="shared" si="66"/>
        <v>1</v>
      </c>
      <c r="Q336" s="189" t="str">
        <f t="shared" si="59"/>
        <v/>
      </c>
      <c r="R336" s="189" t="str">
        <f t="shared" si="59"/>
        <v/>
      </c>
      <c r="S336" s="189" t="str">
        <f t="shared" si="59"/>
        <v/>
      </c>
      <c r="T336" s="189" t="str">
        <f t="shared" si="59"/>
        <v/>
      </c>
      <c r="U336" s="189" t="str">
        <f t="shared" si="59"/>
        <v/>
      </c>
      <c r="V336" s="60">
        <f t="shared" si="67"/>
        <v>46537</v>
      </c>
      <c r="W336" s="121">
        <f t="shared" si="60"/>
        <v>1</v>
      </c>
      <c r="AD336" s="60">
        <f t="shared" si="69"/>
        <v>46537</v>
      </c>
      <c r="AE336">
        <f t="shared" si="61"/>
        <v>15</v>
      </c>
      <c r="AF336">
        <f t="shared" si="62"/>
        <v>15</v>
      </c>
      <c r="AG336">
        <f t="shared" si="63"/>
        <v>5</v>
      </c>
      <c r="AH336">
        <f t="shared" si="64"/>
        <v>5</v>
      </c>
      <c r="AI336">
        <f t="shared" si="65"/>
        <v>5</v>
      </c>
      <c r="AJ336"/>
    </row>
    <row r="337" spans="15:36" x14ac:dyDescent="0.25">
      <c r="O337" s="60">
        <f t="shared" si="68"/>
        <v>46538</v>
      </c>
      <c r="P337" s="121">
        <f t="shared" si="66"/>
        <v>2</v>
      </c>
      <c r="Q337" s="189" t="s">
        <v>190</v>
      </c>
      <c r="R337" s="189" t="s">
        <v>190</v>
      </c>
      <c r="S337" s="189" t="s">
        <v>190</v>
      </c>
      <c r="T337" s="189" t="s">
        <v>190</v>
      </c>
      <c r="U337" s="189" t="s">
        <v>190</v>
      </c>
      <c r="V337" s="60">
        <f t="shared" si="67"/>
        <v>46538</v>
      </c>
      <c r="W337" s="121">
        <f t="shared" si="60"/>
        <v>2</v>
      </c>
      <c r="AD337" s="60">
        <f t="shared" si="69"/>
        <v>46538</v>
      </c>
      <c r="AE337">
        <f t="shared" si="61"/>
        <v>15</v>
      </c>
      <c r="AF337">
        <f t="shared" si="62"/>
        <v>15</v>
      </c>
      <c r="AG337">
        <f t="shared" si="63"/>
        <v>5</v>
      </c>
      <c r="AH337">
        <f t="shared" si="64"/>
        <v>5</v>
      </c>
      <c r="AI337">
        <f t="shared" si="65"/>
        <v>5</v>
      </c>
      <c r="AJ337"/>
    </row>
    <row r="338" spans="15:36" x14ac:dyDescent="0.25">
      <c r="O338" s="60">
        <f t="shared" si="68"/>
        <v>46539</v>
      </c>
      <c r="P338" s="121">
        <f t="shared" si="66"/>
        <v>3</v>
      </c>
      <c r="Q338" s="189">
        <f t="shared" si="59"/>
        <v>1</v>
      </c>
      <c r="R338" s="189">
        <f t="shared" si="59"/>
        <v>1</v>
      </c>
      <c r="S338" s="189">
        <f t="shared" si="59"/>
        <v>1</v>
      </c>
      <c r="T338" s="189">
        <f t="shared" si="59"/>
        <v>1</v>
      </c>
      <c r="U338" s="189">
        <f t="shared" si="59"/>
        <v>1</v>
      </c>
      <c r="V338" s="60">
        <f t="shared" si="67"/>
        <v>46539</v>
      </c>
      <c r="W338" s="121">
        <f t="shared" si="60"/>
        <v>3</v>
      </c>
      <c r="AC338" t="s">
        <v>261</v>
      </c>
      <c r="AD338" s="60">
        <f t="shared" si="69"/>
        <v>46539</v>
      </c>
      <c r="AE338">
        <f t="shared" si="61"/>
        <v>14</v>
      </c>
      <c r="AF338">
        <f t="shared" si="62"/>
        <v>14</v>
      </c>
      <c r="AG338">
        <f t="shared" si="63"/>
        <v>4</v>
      </c>
      <c r="AH338">
        <f t="shared" si="64"/>
        <v>4</v>
      </c>
      <c r="AI338">
        <f t="shared" si="65"/>
        <v>4</v>
      </c>
      <c r="AJ338"/>
    </row>
    <row r="339" spans="15:36" x14ac:dyDescent="0.25">
      <c r="O339" s="60">
        <f t="shared" si="68"/>
        <v>46540</v>
      </c>
      <c r="P339" s="121">
        <f t="shared" si="66"/>
        <v>4</v>
      </c>
      <c r="Q339" s="189">
        <f t="shared" si="59"/>
        <v>1</v>
      </c>
      <c r="R339" s="189">
        <f t="shared" si="59"/>
        <v>1</v>
      </c>
      <c r="S339" s="189">
        <f t="shared" si="59"/>
        <v>1</v>
      </c>
      <c r="T339" s="189">
        <f t="shared" si="59"/>
        <v>1</v>
      </c>
      <c r="U339" s="189">
        <f t="shared" si="59"/>
        <v>1</v>
      </c>
      <c r="V339" s="60">
        <f t="shared" si="67"/>
        <v>46540</v>
      </c>
      <c r="W339" s="121">
        <f t="shared" si="60"/>
        <v>4</v>
      </c>
      <c r="AC339" t="s">
        <v>264</v>
      </c>
      <c r="AD339" s="60">
        <f t="shared" si="69"/>
        <v>46540</v>
      </c>
      <c r="AE339">
        <f t="shared" si="61"/>
        <v>13</v>
      </c>
      <c r="AF339">
        <f t="shared" si="62"/>
        <v>13</v>
      </c>
      <c r="AG339">
        <f t="shared" si="63"/>
        <v>3</v>
      </c>
      <c r="AH339">
        <f t="shared" si="64"/>
        <v>3</v>
      </c>
      <c r="AI339">
        <f t="shared" si="65"/>
        <v>3</v>
      </c>
      <c r="AJ339"/>
    </row>
    <row r="340" spans="15:36" x14ac:dyDescent="0.25">
      <c r="O340" s="60">
        <f t="shared" si="68"/>
        <v>46541</v>
      </c>
      <c r="P340" s="121">
        <f t="shared" si="66"/>
        <v>5</v>
      </c>
      <c r="Q340" s="189">
        <f t="shared" si="59"/>
        <v>1</v>
      </c>
      <c r="R340" s="189">
        <f t="shared" si="59"/>
        <v>1</v>
      </c>
      <c r="S340" s="189">
        <f t="shared" si="59"/>
        <v>1</v>
      </c>
      <c r="T340" s="189">
        <f t="shared" si="59"/>
        <v>1</v>
      </c>
      <c r="U340" s="189">
        <f t="shared" si="59"/>
        <v>1</v>
      </c>
      <c r="V340" s="60">
        <f t="shared" si="67"/>
        <v>46541</v>
      </c>
      <c r="W340" s="121">
        <f t="shared" si="60"/>
        <v>5</v>
      </c>
      <c r="AC340" t="s">
        <v>261</v>
      </c>
      <c r="AD340" s="60">
        <f t="shared" si="69"/>
        <v>46541</v>
      </c>
      <c r="AE340">
        <f t="shared" si="61"/>
        <v>12</v>
      </c>
      <c r="AF340">
        <f t="shared" si="62"/>
        <v>12</v>
      </c>
      <c r="AG340">
        <f t="shared" si="63"/>
        <v>2</v>
      </c>
      <c r="AH340">
        <f t="shared" si="64"/>
        <v>2</v>
      </c>
      <c r="AI340">
        <f t="shared" si="65"/>
        <v>2</v>
      </c>
      <c r="AJ340"/>
    </row>
    <row r="341" spans="15:36" x14ac:dyDescent="0.25">
      <c r="O341" s="60">
        <f t="shared" si="68"/>
        <v>46542</v>
      </c>
      <c r="P341" s="121">
        <f t="shared" si="66"/>
        <v>6</v>
      </c>
      <c r="Q341" s="189">
        <f t="shared" si="59"/>
        <v>1</v>
      </c>
      <c r="R341" s="189">
        <f t="shared" si="59"/>
        <v>1</v>
      </c>
      <c r="S341" s="189">
        <f t="shared" si="59"/>
        <v>1</v>
      </c>
      <c r="T341" s="189">
        <f t="shared" si="59"/>
        <v>1</v>
      </c>
      <c r="U341" s="189">
        <f t="shared" si="59"/>
        <v>1</v>
      </c>
      <c r="V341" s="60">
        <f t="shared" si="67"/>
        <v>46542</v>
      </c>
      <c r="W341" s="121">
        <f t="shared" si="60"/>
        <v>6</v>
      </c>
      <c r="AC341" t="s">
        <v>264</v>
      </c>
      <c r="AD341" s="60">
        <f t="shared" si="69"/>
        <v>46542</v>
      </c>
      <c r="AE341">
        <f t="shared" si="61"/>
        <v>11</v>
      </c>
      <c r="AF341">
        <f t="shared" si="62"/>
        <v>11</v>
      </c>
      <c r="AG341">
        <f t="shared" si="63"/>
        <v>1</v>
      </c>
      <c r="AH341">
        <f t="shared" si="64"/>
        <v>1</v>
      </c>
      <c r="AI341">
        <f t="shared" si="65"/>
        <v>1</v>
      </c>
      <c r="AJ341"/>
    </row>
    <row r="342" spans="15:36" x14ac:dyDescent="0.25">
      <c r="O342" s="60">
        <f t="shared" si="68"/>
        <v>46543</v>
      </c>
      <c r="P342" s="121">
        <f t="shared" si="66"/>
        <v>7</v>
      </c>
      <c r="Q342" s="189" t="str">
        <f t="shared" si="59"/>
        <v/>
      </c>
      <c r="R342" s="189" t="str">
        <f t="shared" si="59"/>
        <v/>
      </c>
      <c r="S342" s="189" t="str">
        <f t="shared" si="59"/>
        <v/>
      </c>
      <c r="T342" s="189" t="str">
        <f t="shared" si="59"/>
        <v/>
      </c>
      <c r="U342" s="189" t="str">
        <f t="shared" si="59"/>
        <v/>
      </c>
      <c r="V342" s="60">
        <f t="shared" si="67"/>
        <v>46543</v>
      </c>
      <c r="W342" s="121">
        <f t="shared" si="60"/>
        <v>7</v>
      </c>
      <c r="AD342" s="60">
        <f t="shared" si="69"/>
        <v>46543</v>
      </c>
      <c r="AE342">
        <f t="shared" si="61"/>
        <v>11</v>
      </c>
      <c r="AF342">
        <f t="shared" si="62"/>
        <v>11</v>
      </c>
      <c r="AG342">
        <f t="shared" si="63"/>
        <v>1</v>
      </c>
      <c r="AH342">
        <f t="shared" si="64"/>
        <v>1</v>
      </c>
      <c r="AI342">
        <f t="shared" si="65"/>
        <v>1</v>
      </c>
      <c r="AJ342"/>
    </row>
    <row r="343" spans="15:36" x14ac:dyDescent="0.25">
      <c r="O343" s="60">
        <f t="shared" si="68"/>
        <v>46544</v>
      </c>
      <c r="P343" s="121">
        <f t="shared" si="66"/>
        <v>1</v>
      </c>
      <c r="Q343" s="189" t="str">
        <f t="shared" si="59"/>
        <v/>
      </c>
      <c r="R343" s="189" t="str">
        <f t="shared" si="59"/>
        <v/>
      </c>
      <c r="S343" s="189" t="str">
        <f t="shared" si="59"/>
        <v/>
      </c>
      <c r="T343" s="189" t="str">
        <f t="shared" si="59"/>
        <v/>
      </c>
      <c r="U343" s="189" t="str">
        <f t="shared" si="59"/>
        <v/>
      </c>
      <c r="V343" s="60">
        <f t="shared" si="67"/>
        <v>46544</v>
      </c>
      <c r="W343" s="121">
        <f t="shared" si="60"/>
        <v>1</v>
      </c>
      <c r="AD343" s="60">
        <f t="shared" si="69"/>
        <v>46544</v>
      </c>
      <c r="AE343">
        <f t="shared" si="61"/>
        <v>11</v>
      </c>
      <c r="AF343">
        <f t="shared" si="62"/>
        <v>11</v>
      </c>
      <c r="AG343">
        <f t="shared" si="63"/>
        <v>1</v>
      </c>
      <c r="AH343">
        <f t="shared" si="64"/>
        <v>1</v>
      </c>
      <c r="AI343">
        <f t="shared" si="65"/>
        <v>1</v>
      </c>
      <c r="AJ343"/>
    </row>
    <row r="344" spans="15:36" x14ac:dyDescent="0.25">
      <c r="O344" s="60">
        <f t="shared" si="68"/>
        <v>46545</v>
      </c>
      <c r="P344" s="121">
        <f>WEEKDAY(O344)</f>
        <v>2</v>
      </c>
      <c r="Q344" s="189">
        <f t="shared" si="59"/>
        <v>1</v>
      </c>
      <c r="R344" s="189">
        <f t="shared" si="59"/>
        <v>1</v>
      </c>
      <c r="S344" s="189">
        <f t="shared" si="59"/>
        <v>1</v>
      </c>
      <c r="T344" s="189">
        <f t="shared" si="59"/>
        <v>1</v>
      </c>
      <c r="U344" s="189">
        <f t="shared" si="59"/>
        <v>1</v>
      </c>
      <c r="V344" s="60">
        <f t="shared" si="67"/>
        <v>46545</v>
      </c>
      <c r="W344" s="121">
        <f t="shared" si="60"/>
        <v>2</v>
      </c>
      <c r="AD344" s="60">
        <f t="shared" si="69"/>
        <v>46545</v>
      </c>
      <c r="AE344">
        <f t="shared" si="61"/>
        <v>10</v>
      </c>
      <c r="AF344">
        <f t="shared" si="62"/>
        <v>10</v>
      </c>
      <c r="AG344">
        <f t="shared" si="63"/>
        <v>0</v>
      </c>
      <c r="AH344">
        <f t="shared" si="64"/>
        <v>0</v>
      </c>
      <c r="AI344">
        <f t="shared" si="65"/>
        <v>0</v>
      </c>
      <c r="AJ344"/>
    </row>
    <row r="345" spans="15:36" x14ac:dyDescent="0.25">
      <c r="O345" s="60">
        <f t="shared" si="68"/>
        <v>46546</v>
      </c>
      <c r="P345" s="121">
        <f t="shared" si="66"/>
        <v>3</v>
      </c>
      <c r="Q345" s="189">
        <f t="shared" si="59"/>
        <v>1</v>
      </c>
      <c r="R345" s="189">
        <f t="shared" si="59"/>
        <v>1</v>
      </c>
      <c r="S345" s="189" t="s">
        <v>178</v>
      </c>
      <c r="T345" s="189" t="s">
        <v>178</v>
      </c>
      <c r="U345" s="189" t="s">
        <v>178</v>
      </c>
      <c r="V345" s="60">
        <f t="shared" si="67"/>
        <v>46546</v>
      </c>
      <c r="W345" s="121">
        <f t="shared" si="60"/>
        <v>3</v>
      </c>
      <c r="AD345" s="60">
        <f t="shared" si="69"/>
        <v>46546</v>
      </c>
      <c r="AE345">
        <f t="shared" si="61"/>
        <v>9</v>
      </c>
      <c r="AF345">
        <f t="shared" si="62"/>
        <v>9</v>
      </c>
      <c r="AG345">
        <f t="shared" si="63"/>
        <v>0</v>
      </c>
      <c r="AH345">
        <f t="shared" si="64"/>
        <v>0</v>
      </c>
      <c r="AI345">
        <f t="shared" si="65"/>
        <v>0</v>
      </c>
      <c r="AJ345"/>
    </row>
    <row r="346" spans="15:36" x14ac:dyDescent="0.25">
      <c r="O346" s="60">
        <f t="shared" si="68"/>
        <v>46547</v>
      </c>
      <c r="P346" s="121">
        <f t="shared" si="66"/>
        <v>4</v>
      </c>
      <c r="Q346" s="189">
        <f t="shared" si="59"/>
        <v>1</v>
      </c>
      <c r="R346" s="189">
        <f t="shared" si="59"/>
        <v>1</v>
      </c>
      <c r="S346" s="189" t="s">
        <v>178</v>
      </c>
      <c r="T346" s="189" t="s">
        <v>178</v>
      </c>
      <c r="U346" s="189" t="s">
        <v>178</v>
      </c>
      <c r="V346" s="60">
        <f t="shared" si="67"/>
        <v>46547</v>
      </c>
      <c r="W346" s="121">
        <f t="shared" si="60"/>
        <v>4</v>
      </c>
      <c r="AD346" s="60">
        <f t="shared" si="69"/>
        <v>46547</v>
      </c>
      <c r="AE346">
        <f t="shared" si="61"/>
        <v>8</v>
      </c>
      <c r="AF346">
        <f t="shared" si="62"/>
        <v>8</v>
      </c>
      <c r="AG346">
        <f t="shared" si="63"/>
        <v>0</v>
      </c>
      <c r="AH346">
        <f t="shared" si="64"/>
        <v>0</v>
      </c>
      <c r="AI346">
        <f t="shared" si="65"/>
        <v>0</v>
      </c>
      <c r="AJ346"/>
    </row>
    <row r="347" spans="15:36" x14ac:dyDescent="0.25">
      <c r="O347" s="60">
        <f t="shared" si="68"/>
        <v>46548</v>
      </c>
      <c r="P347" s="121">
        <f t="shared" si="66"/>
        <v>5</v>
      </c>
      <c r="Q347" s="189">
        <f t="shared" si="59"/>
        <v>1</v>
      </c>
      <c r="R347" s="189">
        <f t="shared" si="59"/>
        <v>1</v>
      </c>
      <c r="S347" s="189" t="s">
        <v>178</v>
      </c>
      <c r="T347" s="189" t="s">
        <v>178</v>
      </c>
      <c r="U347" s="189" t="s">
        <v>178</v>
      </c>
      <c r="V347" s="60">
        <f t="shared" si="67"/>
        <v>46548</v>
      </c>
      <c r="W347" s="121">
        <f t="shared" si="60"/>
        <v>5</v>
      </c>
      <c r="AD347" s="60">
        <f t="shared" si="69"/>
        <v>46548</v>
      </c>
      <c r="AE347">
        <f t="shared" si="61"/>
        <v>7</v>
      </c>
      <c r="AF347">
        <f t="shared" si="62"/>
        <v>7</v>
      </c>
      <c r="AG347">
        <f t="shared" si="63"/>
        <v>0</v>
      </c>
      <c r="AH347">
        <f t="shared" si="64"/>
        <v>0</v>
      </c>
      <c r="AI347">
        <f t="shared" si="65"/>
        <v>0</v>
      </c>
      <c r="AJ347"/>
    </row>
    <row r="348" spans="15:36" x14ac:dyDescent="0.25">
      <c r="O348" s="60">
        <f t="shared" si="68"/>
        <v>46549</v>
      </c>
      <c r="P348" s="121">
        <f t="shared" si="66"/>
        <v>6</v>
      </c>
      <c r="Q348" s="189">
        <f t="shared" si="59"/>
        <v>1</v>
      </c>
      <c r="R348" s="189">
        <f t="shared" si="59"/>
        <v>1</v>
      </c>
      <c r="S348" s="189" t="s">
        <v>178</v>
      </c>
      <c r="T348" s="189" t="s">
        <v>178</v>
      </c>
      <c r="U348" s="189" t="s">
        <v>178</v>
      </c>
      <c r="V348" s="60">
        <f t="shared" si="67"/>
        <v>46549</v>
      </c>
      <c r="W348" s="121">
        <f t="shared" si="60"/>
        <v>6</v>
      </c>
      <c r="AD348" s="60">
        <f t="shared" si="69"/>
        <v>46549</v>
      </c>
      <c r="AE348">
        <f t="shared" si="61"/>
        <v>6</v>
      </c>
      <c r="AF348">
        <f t="shared" si="62"/>
        <v>6</v>
      </c>
      <c r="AG348">
        <f t="shared" si="63"/>
        <v>0</v>
      </c>
      <c r="AH348">
        <f t="shared" si="64"/>
        <v>0</v>
      </c>
      <c r="AI348">
        <f t="shared" si="65"/>
        <v>0</v>
      </c>
      <c r="AJ348"/>
    </row>
    <row r="349" spans="15:36" x14ac:dyDescent="0.25">
      <c r="O349" s="60">
        <f t="shared" si="68"/>
        <v>46550</v>
      </c>
      <c r="P349" s="121">
        <f t="shared" si="66"/>
        <v>7</v>
      </c>
      <c r="Q349" s="189" t="str">
        <f t="shared" si="59"/>
        <v/>
      </c>
      <c r="R349" s="189" t="str">
        <f t="shared" si="59"/>
        <v/>
      </c>
      <c r="S349" s="189" t="s">
        <v>178</v>
      </c>
      <c r="T349" s="189" t="s">
        <v>178</v>
      </c>
      <c r="U349" s="189" t="s">
        <v>178</v>
      </c>
      <c r="V349" s="60">
        <f t="shared" si="67"/>
        <v>46550</v>
      </c>
      <c r="W349" s="121">
        <f t="shared" si="60"/>
        <v>7</v>
      </c>
      <c r="AD349" s="60">
        <f t="shared" si="69"/>
        <v>46550</v>
      </c>
      <c r="AE349">
        <f t="shared" si="61"/>
        <v>6</v>
      </c>
      <c r="AF349">
        <f t="shared" si="62"/>
        <v>6</v>
      </c>
      <c r="AG349">
        <f t="shared" si="63"/>
        <v>0</v>
      </c>
      <c r="AH349">
        <f t="shared" si="64"/>
        <v>0</v>
      </c>
      <c r="AI349">
        <f t="shared" si="65"/>
        <v>0</v>
      </c>
      <c r="AJ349"/>
    </row>
    <row r="350" spans="15:36" x14ac:dyDescent="0.25">
      <c r="O350" s="60">
        <f t="shared" si="68"/>
        <v>46551</v>
      </c>
      <c r="P350" s="121">
        <f t="shared" si="66"/>
        <v>1</v>
      </c>
      <c r="Q350" s="189" t="str">
        <f t="shared" si="59"/>
        <v/>
      </c>
      <c r="R350" s="189" t="str">
        <f t="shared" si="59"/>
        <v/>
      </c>
      <c r="S350" s="189" t="s">
        <v>178</v>
      </c>
      <c r="T350" s="189" t="s">
        <v>178</v>
      </c>
      <c r="U350" s="189" t="s">
        <v>178</v>
      </c>
      <c r="V350" s="60">
        <f t="shared" si="67"/>
        <v>46551</v>
      </c>
      <c r="W350" s="121">
        <f t="shared" si="60"/>
        <v>1</v>
      </c>
      <c r="AD350" s="60">
        <f t="shared" si="69"/>
        <v>46551</v>
      </c>
      <c r="AE350">
        <f t="shared" si="61"/>
        <v>6</v>
      </c>
      <c r="AF350">
        <f t="shared" si="62"/>
        <v>6</v>
      </c>
      <c r="AG350">
        <f t="shared" si="63"/>
        <v>0</v>
      </c>
      <c r="AH350">
        <f t="shared" si="64"/>
        <v>0</v>
      </c>
      <c r="AI350">
        <f t="shared" si="65"/>
        <v>0</v>
      </c>
      <c r="AJ350"/>
    </row>
    <row r="351" spans="15:36" x14ac:dyDescent="0.25">
      <c r="O351" s="60">
        <f t="shared" si="68"/>
        <v>46552</v>
      </c>
      <c r="P351" s="121">
        <f t="shared" si="66"/>
        <v>2</v>
      </c>
      <c r="Q351" s="189">
        <f t="shared" si="59"/>
        <v>1</v>
      </c>
      <c r="R351" s="189">
        <f t="shared" si="59"/>
        <v>1</v>
      </c>
      <c r="S351" s="189" t="s">
        <v>178</v>
      </c>
      <c r="T351" s="189" t="s">
        <v>178</v>
      </c>
      <c r="U351" s="189" t="s">
        <v>178</v>
      </c>
      <c r="V351" s="60">
        <f t="shared" si="67"/>
        <v>46552</v>
      </c>
      <c r="W351" s="121">
        <f t="shared" si="60"/>
        <v>2</v>
      </c>
      <c r="AD351" s="60">
        <f t="shared" si="69"/>
        <v>46552</v>
      </c>
      <c r="AE351">
        <f t="shared" si="61"/>
        <v>5</v>
      </c>
      <c r="AF351">
        <f t="shared" si="62"/>
        <v>5</v>
      </c>
      <c r="AG351">
        <f t="shared" si="63"/>
        <v>0</v>
      </c>
      <c r="AH351">
        <f t="shared" si="64"/>
        <v>0</v>
      </c>
      <c r="AI351">
        <f t="shared" si="65"/>
        <v>0</v>
      </c>
      <c r="AJ351"/>
    </row>
    <row r="352" spans="15:36" x14ac:dyDescent="0.25">
      <c r="O352" s="60">
        <f t="shared" si="68"/>
        <v>46553</v>
      </c>
      <c r="P352" s="121">
        <f t="shared" si="66"/>
        <v>3</v>
      </c>
      <c r="Q352" s="189">
        <f t="shared" si="59"/>
        <v>1</v>
      </c>
      <c r="R352" s="189">
        <f t="shared" si="59"/>
        <v>1</v>
      </c>
      <c r="S352" s="189" t="s">
        <v>178</v>
      </c>
      <c r="T352" s="189" t="s">
        <v>178</v>
      </c>
      <c r="U352" s="189" t="s">
        <v>178</v>
      </c>
      <c r="V352" s="60">
        <f t="shared" si="67"/>
        <v>46553</v>
      </c>
      <c r="W352" s="121">
        <f t="shared" si="60"/>
        <v>3</v>
      </c>
      <c r="AD352" s="60">
        <f t="shared" si="69"/>
        <v>46553</v>
      </c>
      <c r="AE352">
        <f t="shared" si="61"/>
        <v>4</v>
      </c>
      <c r="AF352">
        <f t="shared" si="62"/>
        <v>4</v>
      </c>
      <c r="AG352">
        <f t="shared" si="63"/>
        <v>0</v>
      </c>
      <c r="AH352">
        <f t="shared" si="64"/>
        <v>0</v>
      </c>
      <c r="AI352">
        <f t="shared" si="65"/>
        <v>0</v>
      </c>
      <c r="AJ352"/>
    </row>
    <row r="353" spans="15:36" x14ac:dyDescent="0.25">
      <c r="O353" s="60">
        <f t="shared" si="68"/>
        <v>46554</v>
      </c>
      <c r="P353" s="121">
        <f t="shared" si="66"/>
        <v>4</v>
      </c>
      <c r="Q353" s="189">
        <f t="shared" si="59"/>
        <v>1</v>
      </c>
      <c r="R353" s="189">
        <f t="shared" si="59"/>
        <v>1</v>
      </c>
      <c r="S353" s="189" t="s">
        <v>178</v>
      </c>
      <c r="T353" s="189" t="s">
        <v>178</v>
      </c>
      <c r="U353" s="189" t="s">
        <v>178</v>
      </c>
      <c r="V353" s="60">
        <f t="shared" si="67"/>
        <v>46554</v>
      </c>
      <c r="W353" s="121">
        <f t="shared" si="60"/>
        <v>4</v>
      </c>
      <c r="AD353" s="60">
        <f t="shared" si="69"/>
        <v>46554</v>
      </c>
      <c r="AE353">
        <f t="shared" si="61"/>
        <v>3</v>
      </c>
      <c r="AF353">
        <f t="shared" si="62"/>
        <v>3</v>
      </c>
      <c r="AG353">
        <f t="shared" si="63"/>
        <v>0</v>
      </c>
      <c r="AH353">
        <f t="shared" si="64"/>
        <v>0</v>
      </c>
      <c r="AI353">
        <f t="shared" si="65"/>
        <v>0</v>
      </c>
      <c r="AJ353"/>
    </row>
    <row r="354" spans="15:36" x14ac:dyDescent="0.25">
      <c r="O354" s="60">
        <f t="shared" si="68"/>
        <v>46555</v>
      </c>
      <c r="P354" s="121">
        <f t="shared" si="66"/>
        <v>5</v>
      </c>
      <c r="Q354" s="189">
        <f t="shared" si="59"/>
        <v>1</v>
      </c>
      <c r="R354" s="189">
        <f t="shared" si="59"/>
        <v>1</v>
      </c>
      <c r="S354" s="189" t="s">
        <v>178</v>
      </c>
      <c r="T354" s="189" t="s">
        <v>178</v>
      </c>
      <c r="U354" s="189" t="s">
        <v>178</v>
      </c>
      <c r="V354" s="60">
        <f t="shared" si="67"/>
        <v>46555</v>
      </c>
      <c r="W354" s="121">
        <f t="shared" si="60"/>
        <v>5</v>
      </c>
      <c r="AD354" s="60">
        <f t="shared" si="69"/>
        <v>46555</v>
      </c>
      <c r="AE354">
        <f t="shared" si="61"/>
        <v>2</v>
      </c>
      <c r="AF354">
        <f t="shared" si="62"/>
        <v>2</v>
      </c>
      <c r="AG354">
        <f t="shared" si="63"/>
        <v>0</v>
      </c>
      <c r="AH354">
        <f t="shared" si="64"/>
        <v>0</v>
      </c>
      <c r="AI354">
        <f t="shared" si="65"/>
        <v>0</v>
      </c>
      <c r="AJ354"/>
    </row>
    <row r="355" spans="15:36" x14ac:dyDescent="0.25">
      <c r="O355" s="60">
        <f t="shared" si="68"/>
        <v>46556</v>
      </c>
      <c r="P355" s="121">
        <f t="shared" si="66"/>
        <v>6</v>
      </c>
      <c r="Q355" s="189">
        <f t="shared" si="59"/>
        <v>1</v>
      </c>
      <c r="R355" s="189">
        <f t="shared" si="59"/>
        <v>1</v>
      </c>
      <c r="S355" s="189" t="s">
        <v>178</v>
      </c>
      <c r="T355" s="189" t="s">
        <v>178</v>
      </c>
      <c r="U355" s="189" t="s">
        <v>178</v>
      </c>
      <c r="V355" s="60">
        <f t="shared" si="67"/>
        <v>46556</v>
      </c>
      <c r="W355" s="121">
        <f t="shared" si="60"/>
        <v>6</v>
      </c>
      <c r="AD355" s="60">
        <f t="shared" si="69"/>
        <v>46556</v>
      </c>
      <c r="AE355">
        <f t="shared" si="61"/>
        <v>1</v>
      </c>
      <c r="AF355">
        <f t="shared" si="62"/>
        <v>1</v>
      </c>
      <c r="AG355">
        <f t="shared" si="63"/>
        <v>0</v>
      </c>
      <c r="AH355">
        <f t="shared" si="64"/>
        <v>0</v>
      </c>
      <c r="AI355">
        <f t="shared" si="65"/>
        <v>0</v>
      </c>
      <c r="AJ355"/>
    </row>
    <row r="356" spans="15:36" x14ac:dyDescent="0.25">
      <c r="O356" s="60">
        <f t="shared" si="68"/>
        <v>46557</v>
      </c>
      <c r="P356" s="121">
        <f t="shared" si="66"/>
        <v>7</v>
      </c>
      <c r="Q356" s="189" t="str">
        <f t="shared" si="59"/>
        <v/>
      </c>
      <c r="R356" s="189" t="str">
        <f t="shared" si="59"/>
        <v/>
      </c>
      <c r="S356" s="189" t="s">
        <v>178</v>
      </c>
      <c r="T356" s="189" t="s">
        <v>178</v>
      </c>
      <c r="U356" s="189" t="s">
        <v>178</v>
      </c>
      <c r="V356" s="60">
        <f t="shared" si="67"/>
        <v>46557</v>
      </c>
      <c r="W356" s="121">
        <f t="shared" si="60"/>
        <v>7</v>
      </c>
      <c r="AD356" s="60">
        <f t="shared" si="69"/>
        <v>46557</v>
      </c>
      <c r="AE356">
        <f t="shared" si="61"/>
        <v>1</v>
      </c>
      <c r="AF356">
        <f t="shared" si="62"/>
        <v>1</v>
      </c>
      <c r="AG356">
        <f t="shared" si="63"/>
        <v>0</v>
      </c>
      <c r="AH356">
        <f t="shared" si="64"/>
        <v>0</v>
      </c>
      <c r="AI356">
        <f t="shared" si="65"/>
        <v>0</v>
      </c>
      <c r="AJ356"/>
    </row>
    <row r="357" spans="15:36" x14ac:dyDescent="0.25">
      <c r="O357" s="60">
        <f t="shared" si="68"/>
        <v>46558</v>
      </c>
      <c r="P357" s="121">
        <f t="shared" si="66"/>
        <v>1</v>
      </c>
      <c r="Q357" s="189" t="str">
        <f t="shared" si="59"/>
        <v/>
      </c>
      <c r="R357" s="189" t="str">
        <f t="shared" si="59"/>
        <v/>
      </c>
      <c r="S357" s="189" t="s">
        <v>178</v>
      </c>
      <c r="T357" s="189" t="s">
        <v>178</v>
      </c>
      <c r="U357" s="189" t="s">
        <v>178</v>
      </c>
      <c r="V357" s="60">
        <f t="shared" si="67"/>
        <v>46558</v>
      </c>
      <c r="W357" s="121">
        <f t="shared" si="60"/>
        <v>1</v>
      </c>
      <c r="AD357" s="60">
        <f t="shared" si="69"/>
        <v>46558</v>
      </c>
      <c r="AE357">
        <f t="shared" si="61"/>
        <v>1</v>
      </c>
      <c r="AF357">
        <f t="shared" si="62"/>
        <v>1</v>
      </c>
      <c r="AG357">
        <f t="shared" si="63"/>
        <v>0</v>
      </c>
      <c r="AH357">
        <f t="shared" si="64"/>
        <v>0</v>
      </c>
      <c r="AI357">
        <f t="shared" si="65"/>
        <v>0</v>
      </c>
      <c r="AJ357"/>
    </row>
    <row r="358" spans="15:36" x14ac:dyDescent="0.25">
      <c r="O358" s="60">
        <f t="shared" si="68"/>
        <v>46559</v>
      </c>
      <c r="P358" s="121">
        <f t="shared" si="66"/>
        <v>2</v>
      </c>
      <c r="Q358" s="189">
        <v>1</v>
      </c>
      <c r="R358" s="189">
        <v>1</v>
      </c>
      <c r="S358" s="189" t="s">
        <v>178</v>
      </c>
      <c r="T358" s="189" t="s">
        <v>178</v>
      </c>
      <c r="U358" s="189" t="s">
        <v>178</v>
      </c>
      <c r="V358" s="60">
        <f t="shared" si="67"/>
        <v>46559</v>
      </c>
      <c r="W358" s="121">
        <f t="shared" si="60"/>
        <v>2</v>
      </c>
      <c r="AD358" s="60">
        <f t="shared" si="69"/>
        <v>46559</v>
      </c>
      <c r="AE358">
        <f t="shared" si="61"/>
        <v>0</v>
      </c>
      <c r="AF358">
        <f t="shared" si="62"/>
        <v>0</v>
      </c>
      <c r="AG358">
        <f t="shared" si="63"/>
        <v>0</v>
      </c>
      <c r="AH358">
        <f t="shared" si="64"/>
        <v>0</v>
      </c>
      <c r="AI358">
        <f t="shared" si="65"/>
        <v>0</v>
      </c>
      <c r="AJ358"/>
    </row>
    <row r="359" spans="15:36" x14ac:dyDescent="0.25">
      <c r="O359" s="60">
        <f t="shared" si="68"/>
        <v>46560</v>
      </c>
      <c r="P359" s="121">
        <f t="shared" si="66"/>
        <v>3</v>
      </c>
      <c r="Q359" s="189" t="s">
        <v>178</v>
      </c>
      <c r="R359" s="189" t="s">
        <v>178</v>
      </c>
      <c r="S359" s="189" t="s">
        <v>178</v>
      </c>
      <c r="T359" s="189" t="s">
        <v>178</v>
      </c>
      <c r="U359" s="189" t="s">
        <v>178</v>
      </c>
      <c r="V359" s="60">
        <f t="shared" si="67"/>
        <v>46560</v>
      </c>
      <c r="W359" s="121">
        <f t="shared" si="60"/>
        <v>3</v>
      </c>
      <c r="AD359" s="60">
        <f t="shared" si="69"/>
        <v>46560</v>
      </c>
      <c r="AE359">
        <f t="shared" si="61"/>
        <v>0</v>
      </c>
      <c r="AF359">
        <f t="shared" si="62"/>
        <v>0</v>
      </c>
      <c r="AG359">
        <f t="shared" si="63"/>
        <v>0</v>
      </c>
      <c r="AH359">
        <f t="shared" si="64"/>
        <v>0</v>
      </c>
      <c r="AI359">
        <f t="shared" si="65"/>
        <v>0</v>
      </c>
      <c r="AJ359"/>
    </row>
    <row r="360" spans="15:36" x14ac:dyDescent="0.25">
      <c r="O360" s="60">
        <f t="shared" si="68"/>
        <v>46561</v>
      </c>
      <c r="P360" s="121">
        <f t="shared" si="66"/>
        <v>4</v>
      </c>
      <c r="Q360" s="189" t="s">
        <v>178</v>
      </c>
      <c r="R360" s="189" t="s">
        <v>178</v>
      </c>
      <c r="S360" s="189" t="s">
        <v>178</v>
      </c>
      <c r="T360" s="189" t="s">
        <v>178</v>
      </c>
      <c r="U360" s="189" t="s">
        <v>178</v>
      </c>
      <c r="V360" s="60">
        <f t="shared" si="67"/>
        <v>46561</v>
      </c>
      <c r="W360" s="121">
        <f t="shared" si="60"/>
        <v>4</v>
      </c>
      <c r="AD360" s="60">
        <f t="shared" si="69"/>
        <v>46561</v>
      </c>
      <c r="AE360">
        <f t="shared" si="61"/>
        <v>0</v>
      </c>
      <c r="AF360">
        <f t="shared" si="62"/>
        <v>0</v>
      </c>
      <c r="AG360">
        <f t="shared" si="63"/>
        <v>0</v>
      </c>
      <c r="AH360">
        <f t="shared" si="64"/>
        <v>0</v>
      </c>
      <c r="AI360">
        <f t="shared" si="65"/>
        <v>0</v>
      </c>
      <c r="AJ360"/>
    </row>
    <row r="361" spans="15:36" x14ac:dyDescent="0.25">
      <c r="O361" s="60">
        <f t="shared" si="68"/>
        <v>46562</v>
      </c>
      <c r="P361" s="121">
        <f t="shared" si="66"/>
        <v>5</v>
      </c>
      <c r="Q361" s="189" t="s">
        <v>178</v>
      </c>
      <c r="R361" s="189" t="s">
        <v>178</v>
      </c>
      <c r="S361" s="189" t="s">
        <v>178</v>
      </c>
      <c r="T361" s="189" t="s">
        <v>178</v>
      </c>
      <c r="U361" s="189" t="s">
        <v>178</v>
      </c>
      <c r="V361" s="60">
        <f t="shared" si="67"/>
        <v>46562</v>
      </c>
      <c r="W361" s="121">
        <f t="shared" si="60"/>
        <v>5</v>
      </c>
      <c r="AD361" s="60">
        <f t="shared" si="69"/>
        <v>46562</v>
      </c>
      <c r="AE361">
        <f t="shared" si="61"/>
        <v>0</v>
      </c>
      <c r="AF361">
        <f t="shared" si="62"/>
        <v>0</v>
      </c>
      <c r="AG361">
        <f t="shared" si="63"/>
        <v>0</v>
      </c>
      <c r="AH361">
        <f t="shared" si="64"/>
        <v>0</v>
      </c>
      <c r="AI361">
        <f t="shared" si="65"/>
        <v>0</v>
      </c>
      <c r="AJ361"/>
    </row>
    <row r="362" spans="15:36" x14ac:dyDescent="0.25">
      <c r="O362" s="60">
        <f t="shared" si="68"/>
        <v>46563</v>
      </c>
      <c r="P362" s="121">
        <f t="shared" si="66"/>
        <v>6</v>
      </c>
      <c r="Q362" s="189" t="s">
        <v>178</v>
      </c>
      <c r="R362" s="189" t="s">
        <v>178</v>
      </c>
      <c r="S362" s="189" t="s">
        <v>178</v>
      </c>
      <c r="T362" s="189" t="s">
        <v>178</v>
      </c>
      <c r="U362" s="189" t="s">
        <v>178</v>
      </c>
      <c r="V362" s="60">
        <f t="shared" si="67"/>
        <v>46563</v>
      </c>
      <c r="W362" s="121">
        <f t="shared" si="60"/>
        <v>6</v>
      </c>
      <c r="AD362" s="60">
        <f t="shared" si="69"/>
        <v>46563</v>
      </c>
      <c r="AE362">
        <f t="shared" si="61"/>
        <v>0</v>
      </c>
      <c r="AF362">
        <f t="shared" si="62"/>
        <v>0</v>
      </c>
      <c r="AG362">
        <f t="shared" si="63"/>
        <v>0</v>
      </c>
      <c r="AH362">
        <f t="shared" si="64"/>
        <v>0</v>
      </c>
      <c r="AI362">
        <f t="shared" si="65"/>
        <v>0</v>
      </c>
      <c r="AJ362"/>
    </row>
    <row r="363" spans="15:36" x14ac:dyDescent="0.25">
      <c r="O363" s="60">
        <f t="shared" si="68"/>
        <v>46564</v>
      </c>
      <c r="P363" s="121">
        <f t="shared" si="66"/>
        <v>7</v>
      </c>
      <c r="Q363" s="189" t="s">
        <v>178</v>
      </c>
      <c r="R363" s="189" t="s">
        <v>178</v>
      </c>
      <c r="S363" s="189" t="s">
        <v>178</v>
      </c>
      <c r="T363" s="189" t="s">
        <v>178</v>
      </c>
      <c r="U363" s="189" t="s">
        <v>178</v>
      </c>
      <c r="V363" s="60">
        <f t="shared" si="67"/>
        <v>46564</v>
      </c>
      <c r="W363" s="121">
        <f t="shared" si="60"/>
        <v>7</v>
      </c>
      <c r="AD363" s="60">
        <f t="shared" si="69"/>
        <v>46564</v>
      </c>
      <c r="AE363">
        <f t="shared" si="61"/>
        <v>0</v>
      </c>
      <c r="AF363">
        <f t="shared" si="62"/>
        <v>0</v>
      </c>
      <c r="AG363">
        <f t="shared" si="63"/>
        <v>0</v>
      </c>
      <c r="AH363">
        <f t="shared" si="64"/>
        <v>0</v>
      </c>
      <c r="AI363">
        <f t="shared" si="65"/>
        <v>0</v>
      </c>
      <c r="AJ363"/>
    </row>
    <row r="364" spans="15:36" x14ac:dyDescent="0.25">
      <c r="O364" s="60">
        <f t="shared" si="68"/>
        <v>46565</v>
      </c>
      <c r="P364" s="121">
        <f t="shared" si="66"/>
        <v>1</v>
      </c>
      <c r="Q364" s="189" t="s">
        <v>178</v>
      </c>
      <c r="R364" s="189" t="s">
        <v>178</v>
      </c>
      <c r="S364" s="189" t="s">
        <v>178</v>
      </c>
      <c r="T364" s="189" t="s">
        <v>178</v>
      </c>
      <c r="U364" s="189" t="s">
        <v>178</v>
      </c>
      <c r="V364" s="60">
        <f t="shared" si="67"/>
        <v>46565</v>
      </c>
      <c r="W364" s="121">
        <f t="shared" si="60"/>
        <v>1</v>
      </c>
      <c r="AD364" s="60">
        <f t="shared" si="69"/>
        <v>46565</v>
      </c>
      <c r="AE364">
        <f t="shared" si="61"/>
        <v>0</v>
      </c>
      <c r="AF364">
        <f t="shared" si="62"/>
        <v>0</v>
      </c>
      <c r="AG364">
        <f t="shared" si="63"/>
        <v>0</v>
      </c>
      <c r="AH364">
        <f t="shared" si="64"/>
        <v>0</v>
      </c>
      <c r="AI364">
        <f t="shared" si="65"/>
        <v>0</v>
      </c>
      <c r="AJ364"/>
    </row>
    <row r="365" spans="15:36" x14ac:dyDescent="0.25">
      <c r="O365" s="60">
        <f t="shared" si="68"/>
        <v>46566</v>
      </c>
      <c r="P365" s="121">
        <f t="shared" si="66"/>
        <v>2</v>
      </c>
      <c r="Q365" s="189" t="s">
        <v>178</v>
      </c>
      <c r="R365" s="189" t="s">
        <v>178</v>
      </c>
      <c r="S365" s="189" t="s">
        <v>178</v>
      </c>
      <c r="T365" s="189" t="s">
        <v>178</v>
      </c>
      <c r="U365" s="189" t="s">
        <v>178</v>
      </c>
      <c r="V365" s="60">
        <f t="shared" si="67"/>
        <v>46566</v>
      </c>
      <c r="W365" s="121">
        <f t="shared" si="60"/>
        <v>2</v>
      </c>
      <c r="AD365" s="60">
        <f t="shared" si="69"/>
        <v>46566</v>
      </c>
      <c r="AE365">
        <f t="shared" si="61"/>
        <v>0</v>
      </c>
      <c r="AF365">
        <f t="shared" si="62"/>
        <v>0</v>
      </c>
      <c r="AG365">
        <f t="shared" si="63"/>
        <v>0</v>
      </c>
      <c r="AH365">
        <f t="shared" si="64"/>
        <v>0</v>
      </c>
      <c r="AI365">
        <f t="shared" si="65"/>
        <v>0</v>
      </c>
      <c r="AJ365"/>
    </row>
    <row r="366" spans="15:36" x14ac:dyDescent="0.25">
      <c r="O366" s="60">
        <f t="shared" si="68"/>
        <v>46567</v>
      </c>
      <c r="P366" s="121">
        <f t="shared" si="66"/>
        <v>3</v>
      </c>
      <c r="Q366" s="189" t="s">
        <v>178</v>
      </c>
      <c r="R366" s="189" t="s">
        <v>178</v>
      </c>
      <c r="S366" s="189" t="s">
        <v>178</v>
      </c>
      <c r="T366" s="189" t="s">
        <v>178</v>
      </c>
      <c r="U366" s="189" t="s">
        <v>178</v>
      </c>
      <c r="V366" s="60">
        <f t="shared" si="67"/>
        <v>46567</v>
      </c>
      <c r="W366" s="121">
        <f t="shared" si="60"/>
        <v>3</v>
      </c>
      <c r="AD366" s="60">
        <f t="shared" si="69"/>
        <v>46567</v>
      </c>
      <c r="AE366">
        <f t="shared" si="61"/>
        <v>0</v>
      </c>
      <c r="AF366">
        <f t="shared" si="62"/>
        <v>0</v>
      </c>
      <c r="AG366">
        <f t="shared" si="63"/>
        <v>0</v>
      </c>
      <c r="AH366">
        <f t="shared" si="64"/>
        <v>0</v>
      </c>
      <c r="AI366">
        <f t="shared" si="65"/>
        <v>0</v>
      </c>
      <c r="AJ366"/>
    </row>
    <row r="367" spans="15:36" x14ac:dyDescent="0.25">
      <c r="O367" s="60">
        <f t="shared" si="68"/>
        <v>46568</v>
      </c>
      <c r="P367" s="121">
        <f t="shared" si="66"/>
        <v>4</v>
      </c>
      <c r="Q367" s="189" t="s">
        <v>178</v>
      </c>
      <c r="R367" s="189" t="s">
        <v>178</v>
      </c>
      <c r="S367" s="189" t="s">
        <v>178</v>
      </c>
      <c r="T367" s="189" t="s">
        <v>178</v>
      </c>
      <c r="U367" s="189" t="s">
        <v>178</v>
      </c>
      <c r="V367" s="60">
        <f t="shared" si="67"/>
        <v>46568</v>
      </c>
      <c r="W367" s="121">
        <f t="shared" si="60"/>
        <v>4</v>
      </c>
      <c r="AD367" s="60">
        <f t="shared" si="69"/>
        <v>46568</v>
      </c>
      <c r="AE367">
        <f t="shared" si="61"/>
        <v>0</v>
      </c>
      <c r="AF367">
        <f t="shared" si="62"/>
        <v>0</v>
      </c>
      <c r="AG367">
        <f t="shared" si="63"/>
        <v>0</v>
      </c>
      <c r="AH367">
        <f t="shared" si="64"/>
        <v>0</v>
      </c>
      <c r="AI367">
        <f t="shared" si="65"/>
        <v>0</v>
      </c>
      <c r="AJ367"/>
    </row>
    <row r="368" spans="15:36" x14ac:dyDescent="0.25">
      <c r="O368" s="60">
        <f t="shared" si="68"/>
        <v>46569</v>
      </c>
      <c r="P368" s="121">
        <f t="shared" si="66"/>
        <v>5</v>
      </c>
      <c r="Q368" s="189" t="s">
        <v>178</v>
      </c>
      <c r="R368" s="189" t="s">
        <v>178</v>
      </c>
      <c r="S368" s="189" t="s">
        <v>178</v>
      </c>
      <c r="T368" s="189" t="s">
        <v>178</v>
      </c>
      <c r="U368" s="189" t="s">
        <v>178</v>
      </c>
      <c r="V368" s="60">
        <f t="shared" si="67"/>
        <v>46569</v>
      </c>
      <c r="W368" s="121">
        <f t="shared" si="60"/>
        <v>5</v>
      </c>
      <c r="AD368" s="60">
        <f t="shared" si="69"/>
        <v>46569</v>
      </c>
      <c r="AE368">
        <f t="shared" si="61"/>
        <v>0</v>
      </c>
      <c r="AF368">
        <f t="shared" si="62"/>
        <v>0</v>
      </c>
      <c r="AG368">
        <f t="shared" si="63"/>
        <v>0</v>
      </c>
      <c r="AH368">
        <f t="shared" si="64"/>
        <v>0</v>
      </c>
      <c r="AI368">
        <f t="shared" si="65"/>
        <v>0</v>
      </c>
      <c r="AJ368"/>
    </row>
    <row r="369" spans="15:36" x14ac:dyDescent="0.25">
      <c r="O369" s="60">
        <f t="shared" si="68"/>
        <v>46570</v>
      </c>
      <c r="P369" s="121">
        <f t="shared" si="66"/>
        <v>6</v>
      </c>
      <c r="Q369" s="189" t="s">
        <v>178</v>
      </c>
      <c r="R369" s="189" t="s">
        <v>178</v>
      </c>
      <c r="S369" s="189" t="s">
        <v>178</v>
      </c>
      <c r="T369" s="189" t="s">
        <v>178</v>
      </c>
      <c r="U369" s="189" t="s">
        <v>178</v>
      </c>
      <c r="V369" s="60">
        <f t="shared" si="67"/>
        <v>46570</v>
      </c>
      <c r="W369" s="121">
        <f t="shared" si="60"/>
        <v>6</v>
      </c>
      <c r="AD369" s="60">
        <f t="shared" si="69"/>
        <v>46570</v>
      </c>
      <c r="AE369">
        <f t="shared" si="61"/>
        <v>0</v>
      </c>
      <c r="AF369">
        <f t="shared" si="62"/>
        <v>0</v>
      </c>
      <c r="AG369">
        <f t="shared" si="63"/>
        <v>0</v>
      </c>
      <c r="AH369">
        <f t="shared" si="64"/>
        <v>0</v>
      </c>
      <c r="AI369">
        <f t="shared" si="65"/>
        <v>0</v>
      </c>
      <c r="AJ369"/>
    </row>
    <row r="370" spans="15:36" x14ac:dyDescent="0.25">
      <c r="O370" s="60">
        <f t="shared" si="68"/>
        <v>46571</v>
      </c>
      <c r="P370" s="121">
        <f t="shared" si="66"/>
        <v>7</v>
      </c>
      <c r="Q370" s="189" t="s">
        <v>178</v>
      </c>
      <c r="R370" s="189" t="s">
        <v>178</v>
      </c>
      <c r="S370" s="189" t="s">
        <v>178</v>
      </c>
      <c r="T370" s="189" t="s">
        <v>178</v>
      </c>
      <c r="U370" s="189" t="s">
        <v>178</v>
      </c>
      <c r="V370" s="60">
        <f t="shared" si="67"/>
        <v>46571</v>
      </c>
      <c r="W370" s="121">
        <f t="shared" si="60"/>
        <v>7</v>
      </c>
      <c r="AD370" s="60">
        <f t="shared" si="69"/>
        <v>46571</v>
      </c>
      <c r="AE370">
        <f t="shared" si="61"/>
        <v>0</v>
      </c>
      <c r="AF370">
        <f t="shared" si="62"/>
        <v>0</v>
      </c>
      <c r="AG370">
        <f t="shared" si="63"/>
        <v>0</v>
      </c>
      <c r="AH370">
        <f t="shared" si="64"/>
        <v>0</v>
      </c>
      <c r="AI370">
        <f t="shared" si="65"/>
        <v>0</v>
      </c>
      <c r="AJ370"/>
    </row>
    <row r="371" spans="15:36" x14ac:dyDescent="0.25">
      <c r="O371" s="60">
        <f t="shared" si="68"/>
        <v>46572</v>
      </c>
      <c r="P371" s="121">
        <f t="shared" si="66"/>
        <v>1</v>
      </c>
      <c r="Q371" s="189" t="s">
        <v>178</v>
      </c>
      <c r="R371" s="189" t="s">
        <v>178</v>
      </c>
      <c r="S371" s="189" t="s">
        <v>178</v>
      </c>
      <c r="T371" s="189" t="s">
        <v>178</v>
      </c>
      <c r="U371" s="189" t="s">
        <v>178</v>
      </c>
      <c r="V371" s="60">
        <f t="shared" si="67"/>
        <v>46572</v>
      </c>
      <c r="W371" s="121">
        <f t="shared" si="60"/>
        <v>1</v>
      </c>
      <c r="AD371" s="60">
        <f t="shared" si="69"/>
        <v>46572</v>
      </c>
      <c r="AE371">
        <f t="shared" si="61"/>
        <v>0</v>
      </c>
      <c r="AF371">
        <f t="shared" si="62"/>
        <v>0</v>
      </c>
      <c r="AG371">
        <f t="shared" si="63"/>
        <v>0</v>
      </c>
      <c r="AH371">
        <f t="shared" si="64"/>
        <v>0</v>
      </c>
      <c r="AI371">
        <f t="shared" si="65"/>
        <v>0</v>
      </c>
      <c r="AJ371"/>
    </row>
    <row r="372" spans="15:36" x14ac:dyDescent="0.25">
      <c r="O372" s="60">
        <f t="shared" si="68"/>
        <v>46573</v>
      </c>
      <c r="P372" s="121">
        <f t="shared" si="66"/>
        <v>2</v>
      </c>
      <c r="Q372" s="189" t="s">
        <v>178</v>
      </c>
      <c r="R372" s="189" t="s">
        <v>178</v>
      </c>
      <c r="S372" s="189" t="s">
        <v>178</v>
      </c>
      <c r="T372" s="189" t="s">
        <v>178</v>
      </c>
      <c r="U372" s="189" t="s">
        <v>178</v>
      </c>
      <c r="V372" s="60">
        <f t="shared" si="67"/>
        <v>46573</v>
      </c>
      <c r="W372" s="121">
        <f t="shared" si="60"/>
        <v>2</v>
      </c>
      <c r="AD372" s="60">
        <f t="shared" si="69"/>
        <v>46573</v>
      </c>
      <c r="AE372">
        <f t="shared" si="61"/>
        <v>0</v>
      </c>
      <c r="AF372">
        <f t="shared" si="62"/>
        <v>0</v>
      </c>
      <c r="AG372">
        <f t="shared" si="63"/>
        <v>0</v>
      </c>
      <c r="AH372">
        <f t="shared" si="64"/>
        <v>0</v>
      </c>
      <c r="AI372">
        <f t="shared" si="65"/>
        <v>0</v>
      </c>
      <c r="AJ372"/>
    </row>
    <row r="373" spans="15:36" x14ac:dyDescent="0.25">
      <c r="O373" s="60">
        <f t="shared" si="68"/>
        <v>46574</v>
      </c>
      <c r="P373" s="121">
        <f t="shared" si="66"/>
        <v>3</v>
      </c>
      <c r="Q373" s="189" t="s">
        <v>178</v>
      </c>
      <c r="R373" s="189" t="s">
        <v>178</v>
      </c>
      <c r="S373" s="189" t="s">
        <v>178</v>
      </c>
      <c r="T373" s="189" t="s">
        <v>178</v>
      </c>
      <c r="U373" s="189" t="s">
        <v>178</v>
      </c>
      <c r="V373" s="60">
        <f t="shared" si="67"/>
        <v>46574</v>
      </c>
      <c r="W373" s="121">
        <f t="shared" si="60"/>
        <v>3</v>
      </c>
      <c r="AD373" s="60">
        <f t="shared" si="69"/>
        <v>46574</v>
      </c>
      <c r="AE373">
        <f t="shared" si="61"/>
        <v>0</v>
      </c>
      <c r="AF373">
        <f t="shared" si="62"/>
        <v>0</v>
      </c>
      <c r="AG373">
        <f t="shared" si="63"/>
        <v>0</v>
      </c>
      <c r="AH373">
        <f t="shared" si="64"/>
        <v>0</v>
      </c>
      <c r="AI373">
        <f t="shared" si="65"/>
        <v>0</v>
      </c>
      <c r="AJ373"/>
    </row>
    <row r="374" spans="15:36" x14ac:dyDescent="0.25">
      <c r="O374" s="60">
        <f t="shared" si="68"/>
        <v>46575</v>
      </c>
      <c r="P374" s="121">
        <f t="shared" si="66"/>
        <v>4</v>
      </c>
      <c r="Q374" s="189" t="s">
        <v>178</v>
      </c>
      <c r="R374" s="189" t="s">
        <v>178</v>
      </c>
      <c r="S374" s="189" t="s">
        <v>178</v>
      </c>
      <c r="T374" s="189" t="s">
        <v>178</v>
      </c>
      <c r="U374" s="189" t="s">
        <v>178</v>
      </c>
      <c r="V374" s="60">
        <f t="shared" si="67"/>
        <v>46575</v>
      </c>
      <c r="W374" s="121">
        <f t="shared" si="60"/>
        <v>4</v>
      </c>
      <c r="AD374" s="60">
        <f t="shared" si="69"/>
        <v>46575</v>
      </c>
      <c r="AE374">
        <f t="shared" si="61"/>
        <v>0</v>
      </c>
      <c r="AF374">
        <f t="shared" si="62"/>
        <v>0</v>
      </c>
      <c r="AG374">
        <f t="shared" si="63"/>
        <v>0</v>
      </c>
      <c r="AH374">
        <f t="shared" si="64"/>
        <v>0</v>
      </c>
      <c r="AI374">
        <f t="shared" si="65"/>
        <v>0</v>
      </c>
      <c r="AJ374"/>
    </row>
    <row r="375" spans="15:36" x14ac:dyDescent="0.25">
      <c r="O375" s="60">
        <f t="shared" si="68"/>
        <v>46576</v>
      </c>
      <c r="P375" s="121">
        <f t="shared" si="66"/>
        <v>5</v>
      </c>
      <c r="Q375" s="189" t="s">
        <v>178</v>
      </c>
      <c r="R375" s="189" t="s">
        <v>178</v>
      </c>
      <c r="S375" s="189" t="s">
        <v>178</v>
      </c>
      <c r="T375" s="189" t="s">
        <v>178</v>
      </c>
      <c r="U375" s="189" t="s">
        <v>178</v>
      </c>
      <c r="V375" s="60">
        <f t="shared" si="67"/>
        <v>46576</v>
      </c>
      <c r="W375" s="121">
        <f t="shared" si="60"/>
        <v>5</v>
      </c>
      <c r="AD375" s="60">
        <f t="shared" si="69"/>
        <v>46576</v>
      </c>
      <c r="AE375">
        <f t="shared" si="61"/>
        <v>0</v>
      </c>
      <c r="AF375">
        <f t="shared" si="62"/>
        <v>0</v>
      </c>
      <c r="AG375">
        <f t="shared" si="63"/>
        <v>0</v>
      </c>
      <c r="AH375">
        <f t="shared" si="64"/>
        <v>0</v>
      </c>
      <c r="AI375">
        <f t="shared" si="65"/>
        <v>0</v>
      </c>
      <c r="AJ375"/>
    </row>
    <row r="376" spans="15:36" x14ac:dyDescent="0.25">
      <c r="O376" s="60">
        <f t="shared" si="68"/>
        <v>46577</v>
      </c>
      <c r="P376" s="121">
        <f t="shared" si="66"/>
        <v>6</v>
      </c>
      <c r="Q376" s="189" t="s">
        <v>178</v>
      </c>
      <c r="R376" s="189" t="s">
        <v>178</v>
      </c>
      <c r="S376" s="189" t="s">
        <v>178</v>
      </c>
      <c r="T376" s="189" t="s">
        <v>178</v>
      </c>
      <c r="U376" s="189" t="s">
        <v>178</v>
      </c>
      <c r="V376" s="60">
        <f t="shared" si="67"/>
        <v>46577</v>
      </c>
      <c r="W376" s="121">
        <f t="shared" si="60"/>
        <v>6</v>
      </c>
      <c r="AD376" s="60">
        <f t="shared" si="69"/>
        <v>46577</v>
      </c>
      <c r="AE376">
        <f t="shared" si="61"/>
        <v>0</v>
      </c>
      <c r="AF376">
        <f t="shared" si="62"/>
        <v>0</v>
      </c>
      <c r="AG376">
        <f t="shared" si="63"/>
        <v>0</v>
      </c>
      <c r="AH376">
        <f t="shared" si="64"/>
        <v>0</v>
      </c>
      <c r="AI376">
        <f t="shared" si="65"/>
        <v>0</v>
      </c>
      <c r="AJ376"/>
    </row>
    <row r="377" spans="15:36" x14ac:dyDescent="0.25">
      <c r="O377" s="60">
        <f t="shared" si="68"/>
        <v>46578</v>
      </c>
      <c r="P377" s="121">
        <f t="shared" si="66"/>
        <v>7</v>
      </c>
      <c r="Q377" s="189" t="s">
        <v>178</v>
      </c>
      <c r="R377" s="189" t="s">
        <v>178</v>
      </c>
      <c r="S377" s="189" t="s">
        <v>178</v>
      </c>
      <c r="T377" s="189" t="s">
        <v>178</v>
      </c>
      <c r="U377" s="189" t="s">
        <v>178</v>
      </c>
      <c r="V377" s="60">
        <f t="shared" si="67"/>
        <v>46578</v>
      </c>
      <c r="W377" s="121">
        <f t="shared" si="60"/>
        <v>7</v>
      </c>
      <c r="AD377" s="60">
        <f t="shared" si="69"/>
        <v>46578</v>
      </c>
      <c r="AE377">
        <f t="shared" si="61"/>
        <v>0</v>
      </c>
      <c r="AF377">
        <f t="shared" si="62"/>
        <v>0</v>
      </c>
      <c r="AG377">
        <f t="shared" si="63"/>
        <v>0</v>
      </c>
      <c r="AH377">
        <f t="shared" si="64"/>
        <v>0</v>
      </c>
      <c r="AI377">
        <f t="shared" si="65"/>
        <v>0</v>
      </c>
      <c r="AJ377"/>
    </row>
    <row r="378" spans="15:36" x14ac:dyDescent="0.25">
      <c r="O378" s="60">
        <f t="shared" si="68"/>
        <v>46579</v>
      </c>
      <c r="P378" s="121">
        <f t="shared" si="66"/>
        <v>1</v>
      </c>
      <c r="Q378" s="189" t="s">
        <v>178</v>
      </c>
      <c r="R378" s="189" t="s">
        <v>178</v>
      </c>
      <c r="S378" s="189" t="s">
        <v>178</v>
      </c>
      <c r="T378" s="189" t="s">
        <v>178</v>
      </c>
      <c r="U378" s="189" t="s">
        <v>178</v>
      </c>
      <c r="V378" s="60">
        <f t="shared" si="67"/>
        <v>46579</v>
      </c>
      <c r="W378" s="121">
        <f t="shared" si="60"/>
        <v>1</v>
      </c>
      <c r="AD378" s="60">
        <f t="shared" si="69"/>
        <v>46579</v>
      </c>
      <c r="AE378">
        <f t="shared" si="61"/>
        <v>0</v>
      </c>
      <c r="AF378">
        <f t="shared" si="62"/>
        <v>0</v>
      </c>
      <c r="AG378">
        <f t="shared" si="63"/>
        <v>0</v>
      </c>
      <c r="AH378">
        <f t="shared" si="64"/>
        <v>0</v>
      </c>
      <c r="AI378">
        <f t="shared" si="65"/>
        <v>0</v>
      </c>
      <c r="AJ378"/>
    </row>
    <row r="379" spans="15:36" x14ac:dyDescent="0.25">
      <c r="O379" s="60">
        <f t="shared" si="68"/>
        <v>46580</v>
      </c>
      <c r="P379" s="121">
        <f t="shared" si="66"/>
        <v>2</v>
      </c>
      <c r="Q379" s="189" t="s">
        <v>178</v>
      </c>
      <c r="R379" s="189" t="s">
        <v>178</v>
      </c>
      <c r="S379" s="189" t="s">
        <v>178</v>
      </c>
      <c r="T379" s="189" t="s">
        <v>178</v>
      </c>
      <c r="U379" s="189" t="s">
        <v>178</v>
      </c>
      <c r="V379" s="60">
        <f t="shared" si="67"/>
        <v>46580</v>
      </c>
      <c r="W379" s="121">
        <f t="shared" si="60"/>
        <v>2</v>
      </c>
      <c r="AD379" s="60">
        <f t="shared" si="69"/>
        <v>46580</v>
      </c>
      <c r="AE379">
        <f t="shared" si="61"/>
        <v>0</v>
      </c>
      <c r="AF379">
        <f t="shared" si="62"/>
        <v>0</v>
      </c>
      <c r="AG379">
        <f t="shared" si="63"/>
        <v>0</v>
      </c>
      <c r="AH379">
        <f t="shared" si="64"/>
        <v>0</v>
      </c>
      <c r="AI379">
        <f t="shared" si="65"/>
        <v>0</v>
      </c>
      <c r="AJ379"/>
    </row>
    <row r="380" spans="15:36" x14ac:dyDescent="0.25">
      <c r="O380" s="60">
        <f t="shared" si="68"/>
        <v>46581</v>
      </c>
      <c r="P380" s="121">
        <f t="shared" si="66"/>
        <v>3</v>
      </c>
      <c r="Q380" s="189" t="s">
        <v>178</v>
      </c>
      <c r="R380" s="189" t="s">
        <v>178</v>
      </c>
      <c r="S380" s="189" t="s">
        <v>178</v>
      </c>
      <c r="T380" s="189" t="s">
        <v>178</v>
      </c>
      <c r="U380" s="189" t="s">
        <v>178</v>
      </c>
      <c r="V380" s="60">
        <f t="shared" si="67"/>
        <v>46581</v>
      </c>
      <c r="W380" s="121">
        <f t="shared" si="60"/>
        <v>3</v>
      </c>
      <c r="AD380" s="60">
        <f t="shared" si="69"/>
        <v>46581</v>
      </c>
      <c r="AE380">
        <f t="shared" si="61"/>
        <v>0</v>
      </c>
      <c r="AF380">
        <f t="shared" si="62"/>
        <v>0</v>
      </c>
      <c r="AG380">
        <f t="shared" si="63"/>
        <v>0</v>
      </c>
      <c r="AH380">
        <f t="shared" si="64"/>
        <v>0</v>
      </c>
      <c r="AI380">
        <f t="shared" si="65"/>
        <v>0</v>
      </c>
      <c r="AJ380"/>
    </row>
    <row r="381" spans="15:36" x14ac:dyDescent="0.25">
      <c r="O381" s="60">
        <f t="shared" si="68"/>
        <v>46582</v>
      </c>
      <c r="P381" s="121">
        <f t="shared" si="66"/>
        <v>4</v>
      </c>
      <c r="Q381" s="189" t="s">
        <v>178</v>
      </c>
      <c r="R381" s="189" t="s">
        <v>178</v>
      </c>
      <c r="S381" s="189" t="s">
        <v>178</v>
      </c>
      <c r="T381" s="189" t="s">
        <v>178</v>
      </c>
      <c r="U381" s="189" t="s">
        <v>178</v>
      </c>
      <c r="V381" s="60">
        <f t="shared" si="67"/>
        <v>46582</v>
      </c>
      <c r="W381" s="121">
        <f t="shared" si="60"/>
        <v>4</v>
      </c>
      <c r="AD381" s="60">
        <f t="shared" si="69"/>
        <v>46582</v>
      </c>
      <c r="AE381">
        <f t="shared" si="61"/>
        <v>0</v>
      </c>
      <c r="AF381">
        <f t="shared" si="62"/>
        <v>0</v>
      </c>
      <c r="AG381">
        <f t="shared" si="63"/>
        <v>0</v>
      </c>
      <c r="AH381">
        <f t="shared" si="64"/>
        <v>0</v>
      </c>
      <c r="AI381">
        <f t="shared" si="65"/>
        <v>0</v>
      </c>
      <c r="AJ381"/>
    </row>
    <row r="382" spans="15:36" x14ac:dyDescent="0.25">
      <c r="O382" s="60">
        <f t="shared" si="68"/>
        <v>46583</v>
      </c>
      <c r="P382" s="121">
        <f t="shared" si="66"/>
        <v>5</v>
      </c>
      <c r="Q382" s="189" t="s">
        <v>178</v>
      </c>
      <c r="R382" s="189" t="s">
        <v>178</v>
      </c>
      <c r="S382" s="189" t="s">
        <v>178</v>
      </c>
      <c r="T382" s="189" t="s">
        <v>178</v>
      </c>
      <c r="U382" s="189" t="s">
        <v>178</v>
      </c>
      <c r="V382" s="60">
        <f t="shared" si="67"/>
        <v>46583</v>
      </c>
      <c r="W382" s="121">
        <f t="shared" si="60"/>
        <v>5</v>
      </c>
      <c r="AD382" s="60">
        <f t="shared" si="69"/>
        <v>46583</v>
      </c>
      <c r="AE382">
        <f t="shared" si="61"/>
        <v>0</v>
      </c>
      <c r="AF382">
        <f t="shared" si="62"/>
        <v>0</v>
      </c>
      <c r="AG382">
        <f t="shared" si="63"/>
        <v>0</v>
      </c>
      <c r="AH382">
        <f t="shared" si="64"/>
        <v>0</v>
      </c>
      <c r="AI382">
        <f t="shared" si="65"/>
        <v>0</v>
      </c>
      <c r="AJ382"/>
    </row>
    <row r="383" spans="15:36" x14ac:dyDescent="0.25">
      <c r="O383" s="60">
        <f t="shared" si="68"/>
        <v>46584</v>
      </c>
      <c r="P383" s="121">
        <f t="shared" si="66"/>
        <v>6</v>
      </c>
      <c r="Q383" s="189" t="s">
        <v>178</v>
      </c>
      <c r="R383" s="189" t="s">
        <v>178</v>
      </c>
      <c r="S383" s="189" t="s">
        <v>178</v>
      </c>
      <c r="T383" s="189" t="s">
        <v>178</v>
      </c>
      <c r="U383" s="189" t="s">
        <v>178</v>
      </c>
      <c r="V383" s="60">
        <f t="shared" si="67"/>
        <v>46584</v>
      </c>
      <c r="W383" s="121">
        <f t="shared" si="60"/>
        <v>6</v>
      </c>
      <c r="AD383" s="60">
        <f t="shared" si="69"/>
        <v>46584</v>
      </c>
      <c r="AE383">
        <f t="shared" si="61"/>
        <v>0</v>
      </c>
      <c r="AF383">
        <f t="shared" si="62"/>
        <v>0</v>
      </c>
      <c r="AG383">
        <f t="shared" si="63"/>
        <v>0</v>
      </c>
      <c r="AH383">
        <f t="shared" si="64"/>
        <v>0</v>
      </c>
      <c r="AI383">
        <f t="shared" si="65"/>
        <v>0</v>
      </c>
      <c r="AJ383"/>
    </row>
    <row r="384" spans="15:36" x14ac:dyDescent="0.25">
      <c r="O384" s="60">
        <f t="shared" si="68"/>
        <v>46585</v>
      </c>
      <c r="P384" s="121">
        <f t="shared" si="66"/>
        <v>7</v>
      </c>
      <c r="Q384" s="189" t="s">
        <v>178</v>
      </c>
      <c r="R384" s="189" t="s">
        <v>178</v>
      </c>
      <c r="S384" s="189" t="s">
        <v>178</v>
      </c>
      <c r="T384" s="189" t="s">
        <v>178</v>
      </c>
      <c r="U384" s="189" t="s">
        <v>178</v>
      </c>
      <c r="V384" s="60">
        <f t="shared" si="67"/>
        <v>46585</v>
      </c>
      <c r="W384" s="121">
        <f t="shared" si="60"/>
        <v>7</v>
      </c>
      <c r="AD384" s="60">
        <f t="shared" si="69"/>
        <v>46585</v>
      </c>
      <c r="AE384">
        <f t="shared" si="61"/>
        <v>0</v>
      </c>
      <c r="AF384">
        <f t="shared" si="62"/>
        <v>0</v>
      </c>
      <c r="AG384">
        <f t="shared" si="63"/>
        <v>0</v>
      </c>
      <c r="AH384">
        <f t="shared" si="64"/>
        <v>0</v>
      </c>
      <c r="AI384">
        <f t="shared" si="65"/>
        <v>0</v>
      </c>
      <c r="AJ384"/>
    </row>
    <row r="385" spans="15:36" x14ac:dyDescent="0.25">
      <c r="O385" s="60">
        <f t="shared" si="68"/>
        <v>46586</v>
      </c>
      <c r="P385" s="121">
        <f t="shared" si="66"/>
        <v>1</v>
      </c>
      <c r="Q385" s="189" t="s">
        <v>178</v>
      </c>
      <c r="R385" s="189" t="s">
        <v>178</v>
      </c>
      <c r="S385" s="189" t="s">
        <v>178</v>
      </c>
      <c r="T385" s="189" t="s">
        <v>178</v>
      </c>
      <c r="U385" s="189" t="s">
        <v>178</v>
      </c>
      <c r="V385" s="60">
        <f t="shared" si="67"/>
        <v>46586</v>
      </c>
      <c r="W385" s="121">
        <f t="shared" si="60"/>
        <v>1</v>
      </c>
      <c r="AD385" s="60">
        <f t="shared" si="69"/>
        <v>46586</v>
      </c>
      <c r="AE385">
        <f t="shared" si="61"/>
        <v>0</v>
      </c>
      <c r="AF385">
        <f t="shared" si="62"/>
        <v>0</v>
      </c>
      <c r="AG385">
        <f t="shared" si="63"/>
        <v>0</v>
      </c>
      <c r="AH385">
        <f t="shared" si="64"/>
        <v>0</v>
      </c>
      <c r="AI385">
        <f t="shared" si="65"/>
        <v>0</v>
      </c>
      <c r="AJ385"/>
    </row>
    <row r="386" spans="15:36" x14ac:dyDescent="0.25">
      <c r="O386" s="60">
        <f t="shared" si="68"/>
        <v>46587</v>
      </c>
      <c r="P386" s="121">
        <f t="shared" si="66"/>
        <v>2</v>
      </c>
      <c r="Q386" s="189" t="s">
        <v>178</v>
      </c>
      <c r="R386" s="189" t="s">
        <v>178</v>
      </c>
      <c r="S386" s="189" t="s">
        <v>178</v>
      </c>
      <c r="T386" s="189" t="s">
        <v>178</v>
      </c>
      <c r="U386" s="189" t="s">
        <v>178</v>
      </c>
      <c r="V386" s="60">
        <f t="shared" si="67"/>
        <v>46587</v>
      </c>
      <c r="W386" s="121">
        <f t="shared" si="60"/>
        <v>2</v>
      </c>
      <c r="AD386" s="60">
        <f t="shared" si="69"/>
        <v>46587</v>
      </c>
      <c r="AE386">
        <f t="shared" si="61"/>
        <v>0</v>
      </c>
      <c r="AF386">
        <f t="shared" si="62"/>
        <v>0</v>
      </c>
      <c r="AG386">
        <f t="shared" si="63"/>
        <v>0</v>
      </c>
      <c r="AH386">
        <f t="shared" si="64"/>
        <v>0</v>
      </c>
      <c r="AI386">
        <f t="shared" si="65"/>
        <v>0</v>
      </c>
      <c r="AJ386"/>
    </row>
    <row r="387" spans="15:36" x14ac:dyDescent="0.25">
      <c r="O387" s="60">
        <f t="shared" si="68"/>
        <v>46588</v>
      </c>
      <c r="P387" s="121">
        <f t="shared" si="66"/>
        <v>3</v>
      </c>
      <c r="Q387" s="189" t="s">
        <v>178</v>
      </c>
      <c r="R387" s="189" t="s">
        <v>178</v>
      </c>
      <c r="S387" s="189" t="s">
        <v>178</v>
      </c>
      <c r="T387" s="189" t="s">
        <v>178</v>
      </c>
      <c r="U387" s="189" t="s">
        <v>178</v>
      </c>
      <c r="V387" s="60">
        <f t="shared" si="67"/>
        <v>46588</v>
      </c>
      <c r="W387" s="121">
        <f t="shared" ref="W387:W399" si="70">WEEKDAY(V387)</f>
        <v>3</v>
      </c>
      <c r="AD387" s="60">
        <f t="shared" si="69"/>
        <v>46588</v>
      </c>
      <c r="AE387">
        <f t="shared" ref="AE387:AE398" si="71">AE386-(IF(Q387=1,1,0))</f>
        <v>0</v>
      </c>
      <c r="AF387">
        <f t="shared" ref="AF387:AF398" si="72">AF386-(IF(R387=1,1,0))</f>
        <v>0</v>
      </c>
      <c r="AG387">
        <f t="shared" ref="AG387:AG398" si="73">AG386-(IF(S387=1,1,0))</f>
        <v>0</v>
      </c>
      <c r="AH387">
        <f t="shared" ref="AH387:AH398" si="74">AH386-(IF(T387=1,1,0))</f>
        <v>0</v>
      </c>
      <c r="AI387">
        <f t="shared" ref="AI387:AI398" si="75">AI386-(IF(U387=1,1,0))</f>
        <v>0</v>
      </c>
      <c r="AJ387"/>
    </row>
    <row r="388" spans="15:36" x14ac:dyDescent="0.25">
      <c r="O388" s="60">
        <f t="shared" si="68"/>
        <v>46589</v>
      </c>
      <c r="P388" s="121">
        <f t="shared" ref="P388:P399" si="76">WEEKDAY(O388)</f>
        <v>4</v>
      </c>
      <c r="Q388" s="189" t="s">
        <v>178</v>
      </c>
      <c r="R388" s="189" t="s">
        <v>178</v>
      </c>
      <c r="S388" s="189" t="s">
        <v>178</v>
      </c>
      <c r="T388" s="189" t="s">
        <v>178</v>
      </c>
      <c r="U388" s="189" t="s">
        <v>178</v>
      </c>
      <c r="V388" s="60">
        <f t="shared" ref="V388:V399" si="77">V387+1</f>
        <v>46589</v>
      </c>
      <c r="W388" s="121">
        <f t="shared" si="70"/>
        <v>4</v>
      </c>
      <c r="AD388" s="60">
        <f t="shared" si="69"/>
        <v>46589</v>
      </c>
      <c r="AE388">
        <f t="shared" si="71"/>
        <v>0</v>
      </c>
      <c r="AF388">
        <f t="shared" si="72"/>
        <v>0</v>
      </c>
      <c r="AG388">
        <f t="shared" si="73"/>
        <v>0</v>
      </c>
      <c r="AH388">
        <f t="shared" si="74"/>
        <v>0</v>
      </c>
      <c r="AI388">
        <f t="shared" si="75"/>
        <v>0</v>
      </c>
      <c r="AJ388"/>
    </row>
    <row r="389" spans="15:36" x14ac:dyDescent="0.25">
      <c r="O389" s="60">
        <f t="shared" si="68"/>
        <v>46590</v>
      </c>
      <c r="P389" s="121">
        <f t="shared" si="76"/>
        <v>5</v>
      </c>
      <c r="Q389" s="189" t="s">
        <v>178</v>
      </c>
      <c r="R389" s="189" t="s">
        <v>178</v>
      </c>
      <c r="S389" s="189" t="s">
        <v>178</v>
      </c>
      <c r="T389" s="189" t="s">
        <v>178</v>
      </c>
      <c r="U389" s="189" t="s">
        <v>178</v>
      </c>
      <c r="V389" s="60">
        <f t="shared" si="77"/>
        <v>46590</v>
      </c>
      <c r="W389" s="121">
        <f t="shared" si="70"/>
        <v>5</v>
      </c>
      <c r="AD389" s="60">
        <f t="shared" si="69"/>
        <v>46590</v>
      </c>
      <c r="AE389">
        <f t="shared" si="71"/>
        <v>0</v>
      </c>
      <c r="AF389">
        <f t="shared" si="72"/>
        <v>0</v>
      </c>
      <c r="AG389">
        <f t="shared" si="73"/>
        <v>0</v>
      </c>
      <c r="AH389">
        <f t="shared" si="74"/>
        <v>0</v>
      </c>
      <c r="AI389">
        <f t="shared" si="75"/>
        <v>0</v>
      </c>
      <c r="AJ389"/>
    </row>
    <row r="390" spans="15:36" x14ac:dyDescent="0.25">
      <c r="O390" s="60">
        <f t="shared" ref="O390:O398" si="78">O389+1</f>
        <v>46591</v>
      </c>
      <c r="P390" s="121">
        <f t="shared" si="76"/>
        <v>6</v>
      </c>
      <c r="Q390" s="189" t="s">
        <v>178</v>
      </c>
      <c r="R390" s="189" t="s">
        <v>178</v>
      </c>
      <c r="S390" s="189" t="s">
        <v>178</v>
      </c>
      <c r="T390" s="189" t="s">
        <v>178</v>
      </c>
      <c r="U390" s="189" t="s">
        <v>178</v>
      </c>
      <c r="V390" s="60">
        <f t="shared" si="77"/>
        <v>46591</v>
      </c>
      <c r="W390" s="121">
        <f t="shared" si="70"/>
        <v>6</v>
      </c>
      <c r="AD390" s="60">
        <f t="shared" ref="AD390:AD398" si="79">AD389+1</f>
        <v>46591</v>
      </c>
      <c r="AE390">
        <f t="shared" si="71"/>
        <v>0</v>
      </c>
      <c r="AF390">
        <f t="shared" si="72"/>
        <v>0</v>
      </c>
      <c r="AG390">
        <f t="shared" si="73"/>
        <v>0</v>
      </c>
      <c r="AH390">
        <f t="shared" si="74"/>
        <v>0</v>
      </c>
      <c r="AI390">
        <f t="shared" si="75"/>
        <v>0</v>
      </c>
      <c r="AJ390"/>
    </row>
    <row r="391" spans="15:36" x14ac:dyDescent="0.25">
      <c r="O391" s="60">
        <f>O390+1</f>
        <v>46592</v>
      </c>
      <c r="P391" s="121">
        <f t="shared" si="76"/>
        <v>7</v>
      </c>
      <c r="Q391" s="189" t="s">
        <v>178</v>
      </c>
      <c r="R391" s="189" t="s">
        <v>178</v>
      </c>
      <c r="S391" s="189" t="s">
        <v>178</v>
      </c>
      <c r="T391" s="189" t="s">
        <v>178</v>
      </c>
      <c r="U391" s="189" t="s">
        <v>178</v>
      </c>
      <c r="V391" s="60">
        <f t="shared" si="77"/>
        <v>46592</v>
      </c>
      <c r="W391" s="121">
        <f t="shared" si="70"/>
        <v>7</v>
      </c>
      <c r="AD391" s="60">
        <f>AD390+1</f>
        <v>46592</v>
      </c>
      <c r="AE391">
        <f t="shared" si="71"/>
        <v>0</v>
      </c>
      <c r="AF391">
        <f t="shared" si="72"/>
        <v>0</v>
      </c>
      <c r="AG391">
        <f t="shared" si="73"/>
        <v>0</v>
      </c>
      <c r="AH391">
        <f t="shared" si="74"/>
        <v>0</v>
      </c>
      <c r="AI391">
        <f t="shared" si="75"/>
        <v>0</v>
      </c>
      <c r="AJ391"/>
    </row>
    <row r="392" spans="15:36" x14ac:dyDescent="0.25">
      <c r="O392" s="60">
        <f t="shared" si="78"/>
        <v>46593</v>
      </c>
      <c r="P392" s="121">
        <f t="shared" si="76"/>
        <v>1</v>
      </c>
      <c r="Q392" s="189" t="s">
        <v>178</v>
      </c>
      <c r="R392" s="189" t="s">
        <v>178</v>
      </c>
      <c r="S392" s="189" t="s">
        <v>178</v>
      </c>
      <c r="T392" s="189" t="s">
        <v>178</v>
      </c>
      <c r="U392" s="189" t="s">
        <v>178</v>
      </c>
      <c r="V392" s="60">
        <f t="shared" si="77"/>
        <v>46593</v>
      </c>
      <c r="W392" s="121">
        <f t="shared" si="70"/>
        <v>1</v>
      </c>
      <c r="AD392" s="60">
        <f t="shared" si="79"/>
        <v>46593</v>
      </c>
      <c r="AE392">
        <f t="shared" si="71"/>
        <v>0</v>
      </c>
      <c r="AF392">
        <f t="shared" si="72"/>
        <v>0</v>
      </c>
      <c r="AG392">
        <f t="shared" si="73"/>
        <v>0</v>
      </c>
      <c r="AH392">
        <f t="shared" si="74"/>
        <v>0</v>
      </c>
      <c r="AI392">
        <f t="shared" si="75"/>
        <v>0</v>
      </c>
      <c r="AJ392"/>
    </row>
    <row r="393" spans="15:36" x14ac:dyDescent="0.25">
      <c r="O393" s="60">
        <f t="shared" si="78"/>
        <v>46594</v>
      </c>
      <c r="P393" s="121">
        <f t="shared" si="76"/>
        <v>2</v>
      </c>
      <c r="Q393" s="189" t="s">
        <v>178</v>
      </c>
      <c r="R393" s="189" t="s">
        <v>178</v>
      </c>
      <c r="S393" s="189" t="s">
        <v>178</v>
      </c>
      <c r="T393" s="189" t="s">
        <v>178</v>
      </c>
      <c r="U393" s="189" t="s">
        <v>178</v>
      </c>
      <c r="V393" s="60">
        <f t="shared" si="77"/>
        <v>46594</v>
      </c>
      <c r="W393" s="121">
        <f t="shared" si="70"/>
        <v>2</v>
      </c>
      <c r="AD393" s="60">
        <f t="shared" si="79"/>
        <v>46594</v>
      </c>
      <c r="AE393">
        <f t="shared" si="71"/>
        <v>0</v>
      </c>
      <c r="AF393">
        <f t="shared" si="72"/>
        <v>0</v>
      </c>
      <c r="AG393">
        <f t="shared" si="73"/>
        <v>0</v>
      </c>
      <c r="AH393">
        <f t="shared" si="74"/>
        <v>0</v>
      </c>
      <c r="AI393">
        <f t="shared" si="75"/>
        <v>0</v>
      </c>
      <c r="AJ393"/>
    </row>
    <row r="394" spans="15:36" x14ac:dyDescent="0.25">
      <c r="O394" s="60">
        <f t="shared" si="78"/>
        <v>46595</v>
      </c>
      <c r="P394" s="121">
        <f t="shared" si="76"/>
        <v>3</v>
      </c>
      <c r="Q394" s="189" t="s">
        <v>178</v>
      </c>
      <c r="R394" s="189" t="s">
        <v>178</v>
      </c>
      <c r="S394" s="189" t="s">
        <v>178</v>
      </c>
      <c r="T394" s="189" t="s">
        <v>178</v>
      </c>
      <c r="U394" s="189" t="s">
        <v>178</v>
      </c>
      <c r="V394" s="60">
        <f t="shared" si="77"/>
        <v>46595</v>
      </c>
      <c r="W394" s="121">
        <f t="shared" si="70"/>
        <v>3</v>
      </c>
      <c r="AD394" s="60">
        <f t="shared" si="79"/>
        <v>46595</v>
      </c>
      <c r="AE394">
        <f t="shared" si="71"/>
        <v>0</v>
      </c>
      <c r="AF394">
        <f t="shared" si="72"/>
        <v>0</v>
      </c>
      <c r="AG394">
        <f t="shared" si="73"/>
        <v>0</v>
      </c>
      <c r="AH394">
        <f t="shared" si="74"/>
        <v>0</v>
      </c>
      <c r="AI394">
        <f t="shared" si="75"/>
        <v>0</v>
      </c>
      <c r="AJ394"/>
    </row>
    <row r="395" spans="15:36" x14ac:dyDescent="0.25">
      <c r="O395" s="60">
        <f>O394+1</f>
        <v>46596</v>
      </c>
      <c r="P395" s="121">
        <f t="shared" si="76"/>
        <v>4</v>
      </c>
      <c r="Q395" s="189" t="s">
        <v>178</v>
      </c>
      <c r="R395" s="189" t="s">
        <v>178</v>
      </c>
      <c r="S395" s="189" t="s">
        <v>178</v>
      </c>
      <c r="T395" s="189" t="s">
        <v>178</v>
      </c>
      <c r="U395" s="189" t="s">
        <v>178</v>
      </c>
      <c r="V395" s="60">
        <f t="shared" si="77"/>
        <v>46596</v>
      </c>
      <c r="W395" s="121">
        <f t="shared" si="70"/>
        <v>4</v>
      </c>
      <c r="AD395" s="60">
        <f>AD394+1</f>
        <v>46596</v>
      </c>
      <c r="AE395">
        <f t="shared" si="71"/>
        <v>0</v>
      </c>
      <c r="AF395">
        <f t="shared" si="72"/>
        <v>0</v>
      </c>
      <c r="AG395">
        <f t="shared" si="73"/>
        <v>0</v>
      </c>
      <c r="AH395">
        <f t="shared" si="74"/>
        <v>0</v>
      </c>
      <c r="AI395">
        <f t="shared" si="75"/>
        <v>0</v>
      </c>
      <c r="AJ395"/>
    </row>
    <row r="396" spans="15:36" x14ac:dyDescent="0.25">
      <c r="O396" s="60">
        <f t="shared" si="78"/>
        <v>46597</v>
      </c>
      <c r="P396" s="121">
        <f t="shared" si="76"/>
        <v>5</v>
      </c>
      <c r="Q396" s="189" t="s">
        <v>178</v>
      </c>
      <c r="R396" s="189" t="s">
        <v>178</v>
      </c>
      <c r="S396" s="189" t="s">
        <v>178</v>
      </c>
      <c r="T396" s="189" t="s">
        <v>178</v>
      </c>
      <c r="U396" s="189" t="s">
        <v>178</v>
      </c>
      <c r="V396" s="60">
        <f t="shared" si="77"/>
        <v>46597</v>
      </c>
      <c r="W396" s="121">
        <f t="shared" si="70"/>
        <v>5</v>
      </c>
      <c r="AD396" s="60">
        <f t="shared" si="79"/>
        <v>46597</v>
      </c>
      <c r="AE396">
        <f t="shared" si="71"/>
        <v>0</v>
      </c>
      <c r="AF396">
        <f t="shared" si="72"/>
        <v>0</v>
      </c>
      <c r="AG396">
        <f t="shared" si="73"/>
        <v>0</v>
      </c>
      <c r="AH396">
        <f t="shared" si="74"/>
        <v>0</v>
      </c>
      <c r="AI396">
        <f t="shared" si="75"/>
        <v>0</v>
      </c>
      <c r="AJ396"/>
    </row>
    <row r="397" spans="15:36" x14ac:dyDescent="0.25">
      <c r="O397" s="60">
        <f t="shared" si="78"/>
        <v>46598</v>
      </c>
      <c r="P397" s="121">
        <f t="shared" si="76"/>
        <v>6</v>
      </c>
      <c r="Q397" s="189" t="s">
        <v>178</v>
      </c>
      <c r="R397" s="189" t="s">
        <v>178</v>
      </c>
      <c r="S397" s="189" t="s">
        <v>178</v>
      </c>
      <c r="T397" s="189" t="s">
        <v>178</v>
      </c>
      <c r="U397" s="189" t="s">
        <v>178</v>
      </c>
      <c r="V397" s="60">
        <f t="shared" si="77"/>
        <v>46598</v>
      </c>
      <c r="W397" s="121">
        <f t="shared" si="70"/>
        <v>6</v>
      </c>
      <c r="AD397" s="60">
        <f t="shared" si="79"/>
        <v>46598</v>
      </c>
      <c r="AE397">
        <f t="shared" si="71"/>
        <v>0</v>
      </c>
      <c r="AF397">
        <f t="shared" si="72"/>
        <v>0</v>
      </c>
      <c r="AG397">
        <f t="shared" si="73"/>
        <v>0</v>
      </c>
      <c r="AH397">
        <f t="shared" si="74"/>
        <v>0</v>
      </c>
      <c r="AI397">
        <f t="shared" si="75"/>
        <v>0</v>
      </c>
      <c r="AJ397"/>
    </row>
    <row r="398" spans="15:36" x14ac:dyDescent="0.25">
      <c r="O398" s="60">
        <f t="shared" si="78"/>
        <v>46599</v>
      </c>
      <c r="P398" s="121">
        <f t="shared" si="76"/>
        <v>7</v>
      </c>
      <c r="Q398" s="189" t="s">
        <v>178</v>
      </c>
      <c r="R398" s="189" t="s">
        <v>178</v>
      </c>
      <c r="S398" s="189" t="s">
        <v>178</v>
      </c>
      <c r="T398" s="189" t="s">
        <v>178</v>
      </c>
      <c r="U398" s="189" t="s">
        <v>178</v>
      </c>
      <c r="V398" s="60">
        <f t="shared" si="77"/>
        <v>46599</v>
      </c>
      <c r="W398" s="121">
        <f t="shared" si="70"/>
        <v>7</v>
      </c>
      <c r="AD398" s="60">
        <f t="shared" si="79"/>
        <v>46599</v>
      </c>
      <c r="AE398">
        <f t="shared" si="71"/>
        <v>0</v>
      </c>
      <c r="AF398">
        <f t="shared" si="72"/>
        <v>0</v>
      </c>
      <c r="AG398">
        <f t="shared" si="73"/>
        <v>0</v>
      </c>
      <c r="AH398">
        <f t="shared" si="74"/>
        <v>0</v>
      </c>
      <c r="AI398">
        <f t="shared" si="75"/>
        <v>0</v>
      </c>
      <c r="AJ398"/>
    </row>
    <row r="399" spans="15:36" x14ac:dyDescent="0.25">
      <c r="O399" s="60">
        <v>44043</v>
      </c>
      <c r="P399" s="121">
        <f t="shared" si="76"/>
        <v>6</v>
      </c>
      <c r="Q399" s="189" t="s">
        <v>178</v>
      </c>
      <c r="R399" s="189" t="s">
        <v>178</v>
      </c>
      <c r="S399" s="189" t="s">
        <v>178</v>
      </c>
      <c r="T399" s="189" t="s">
        <v>178</v>
      </c>
      <c r="U399" s="189" t="s">
        <v>178</v>
      </c>
      <c r="V399" s="60">
        <f t="shared" si="77"/>
        <v>46600</v>
      </c>
      <c r="W399" s="121">
        <f t="shared" si="70"/>
        <v>1</v>
      </c>
      <c r="AD399" s="60">
        <v>44043</v>
      </c>
      <c r="AE399">
        <f>AE398-(IF(Q399=1,1,0))</f>
        <v>0</v>
      </c>
      <c r="AF399">
        <f>AF398-(IF(R399=1,1,0))</f>
        <v>0</v>
      </c>
      <c r="AG399">
        <f>AG398-(IF(S399=1,1,0))</f>
        <v>0</v>
      </c>
      <c r="AH399">
        <f>AH398-(IF(T399=1,1,0))</f>
        <v>0</v>
      </c>
      <c r="AI399">
        <f>AI398-(IF(U399=1,1,0))</f>
        <v>0</v>
      </c>
      <c r="AJ399"/>
    </row>
    <row r="400" spans="15:36" x14ac:dyDescent="0.25">
      <c r="Q400" s="189">
        <f>COUNTIF(Q3:Q399,1)</f>
        <v>207</v>
      </c>
      <c r="R400" s="190">
        <f>COUNTIF(R3:R399,1)</f>
        <v>207</v>
      </c>
      <c r="S400" s="190">
        <f t="shared" ref="S400:U400" si="80">COUNTIF(S3:S399,1)</f>
        <v>187</v>
      </c>
      <c r="T400" s="190">
        <f t="shared" si="80"/>
        <v>187</v>
      </c>
      <c r="U400" s="190">
        <f t="shared" si="80"/>
        <v>187</v>
      </c>
    </row>
  </sheetData>
  <sheetProtection algorithmName="SHA-512" hashValue="KuCqSDc2oapZofPvt2yubDbP1lSiiMK0Bdf3/Q3WqPItwDESHw8xqP7QanKVCIlSNs3VzpOQ+vwLaIgiwDs11A==" saltValue="CEOEZxDxKuzF0f2+nCtWDA==" spinCount="100000" sheet="1" selectLockedCells="1"/>
  <sortState ref="F1:H75">
    <sortCondition ref="F75"/>
  </sortState>
  <mergeCells count="2">
    <mergeCell ref="A2:B2"/>
    <mergeCell ref="A1:B1"/>
  </mergeCells>
  <conditionalFormatting sqref="V371 V373:W399 V5:W370">
    <cfRule type="expression" dxfId="170" priority="349">
      <formula>$G5=7</formula>
    </cfRule>
    <cfRule type="expression" dxfId="169" priority="350">
      <formula>$G5=1</formula>
    </cfRule>
  </conditionalFormatting>
  <conditionalFormatting sqref="V3:W4 V372:W372">
    <cfRule type="expression" dxfId="168" priority="347">
      <formula>$G2=7</formula>
    </cfRule>
    <cfRule type="expression" dxfId="167" priority="348">
      <formula>$G2=1</formula>
    </cfRule>
  </conditionalFormatting>
  <conditionalFormatting sqref="R69:T69 R145:T146 R173:T175 R236:T240 T357:U399 Q123:Q146 Q155:Q175 R155:U172 R353:R355 Q333:Q355 Q36:Q70 Q72:Q112 Q115:U122 Q147:T149 Q153:U154 Q176:T187 R201:U201 R204:U204 Q233:Q270 Q279:Q329 Q188:Q231 Q330:U332 R333:U337 Q356:R399">
    <cfRule type="expression" dxfId="71" priority="69">
      <formula>$G35=7</formula>
    </cfRule>
    <cfRule type="expression" dxfId="70" priority="70">
      <formula>$G35=1</formula>
    </cfRule>
  </conditionalFormatting>
  <conditionalFormatting sqref="S42">
    <cfRule type="expression" dxfId="69" priority="43">
      <formula>$G41=7</formula>
    </cfRule>
    <cfRule type="expression" dxfId="68" priority="44">
      <formula>$G41=1</formula>
    </cfRule>
  </conditionalFormatting>
  <conditionalFormatting sqref="S3:S6 S10:S24 S26 S28:S41">
    <cfRule type="expression" dxfId="67" priority="63">
      <formula>$G2=7</formula>
    </cfRule>
    <cfRule type="expression" dxfId="66" priority="64">
      <formula>$G2=1</formula>
    </cfRule>
  </conditionalFormatting>
  <conditionalFormatting sqref="R3:R6 R10:R13">
    <cfRule type="expression" dxfId="65" priority="61">
      <formula>$G2=7</formula>
    </cfRule>
    <cfRule type="expression" dxfId="64" priority="62">
      <formula>$G2=1</formula>
    </cfRule>
  </conditionalFormatting>
  <conditionalFormatting sqref="R14">
    <cfRule type="expression" dxfId="63" priority="59">
      <formula>$G13=7</formula>
    </cfRule>
    <cfRule type="expression" dxfId="62" priority="60">
      <formula>$G13=1</formula>
    </cfRule>
  </conditionalFormatting>
  <conditionalFormatting sqref="T8:T9">
    <cfRule type="expression" dxfId="61" priority="55">
      <formula>$G7=7</formula>
    </cfRule>
    <cfRule type="expression" dxfId="60" priority="56">
      <formula>$G7=1</formula>
    </cfRule>
  </conditionalFormatting>
  <conditionalFormatting sqref="T3:T6 T10:T24 T26 T28:T41">
    <cfRule type="expression" dxfId="59" priority="53">
      <formula>$G2=7</formula>
    </cfRule>
    <cfRule type="expression" dxfId="58" priority="54">
      <formula>$G2=1</formula>
    </cfRule>
  </conditionalFormatting>
  <conditionalFormatting sqref="T42">
    <cfRule type="expression" dxfId="57" priority="41">
      <formula>$G41=7</formula>
    </cfRule>
    <cfRule type="expression" dxfId="56" priority="42">
      <formula>$G41=1</formula>
    </cfRule>
  </conditionalFormatting>
  <conditionalFormatting sqref="R123:R144 R70 Q27:Q35 R26:R68 R72:R112">
    <cfRule type="expression" dxfId="55" priority="51">
      <formula>$G25=7</formula>
    </cfRule>
    <cfRule type="expression" dxfId="54" priority="52">
      <formula>$G25=1</formula>
    </cfRule>
  </conditionalFormatting>
  <conditionalFormatting sqref="S299:T300 R241:R270 R338:R352 R188:R200 R205:R231 R233:R235 Q271:U278 R279:R329 R202:T203">
    <cfRule type="expression" dxfId="53" priority="49">
      <formula>$G187=7</formula>
    </cfRule>
    <cfRule type="expression" dxfId="52" priority="50">
      <formula>$G187=1</formula>
    </cfRule>
  </conditionalFormatting>
  <conditionalFormatting sqref="S70:T70 S123:T144 S43:T68 S72:T112 Q71:U71">
    <cfRule type="expression" dxfId="51" priority="47">
      <formula>$G42=7</formula>
    </cfRule>
    <cfRule type="expression" dxfId="50" priority="48">
      <formula>$G42=1</formula>
    </cfRule>
  </conditionalFormatting>
  <conditionalFormatting sqref="S241:T270 S301:T329 S338:T344 S345:S399 T345:U356 S188:T200 S205:T231 S233:T235 S279:T298">
    <cfRule type="expression" dxfId="49" priority="45">
      <formula>$G187=7</formula>
    </cfRule>
    <cfRule type="expression" dxfId="48" priority="46">
      <formula>$G187=1</formula>
    </cfRule>
  </conditionalFormatting>
  <conditionalFormatting sqref="U8:U9">
    <cfRule type="expression" dxfId="47" priority="25">
      <formula>$G7=7</formula>
    </cfRule>
    <cfRule type="expression" dxfId="46" priority="26">
      <formula>$G7=1</formula>
    </cfRule>
  </conditionalFormatting>
  <conditionalFormatting sqref="Q25">
    <cfRule type="expression" dxfId="45" priority="35">
      <formula>$G24=7</formula>
    </cfRule>
    <cfRule type="expression" dxfId="44" priority="36">
      <formula>$G24=1</formula>
    </cfRule>
  </conditionalFormatting>
  <conditionalFormatting sqref="S25">
    <cfRule type="expression" dxfId="43" priority="33">
      <formula>$G24=7</formula>
    </cfRule>
    <cfRule type="expression" dxfId="42" priority="34">
      <formula>$G24=1</formula>
    </cfRule>
  </conditionalFormatting>
  <conditionalFormatting sqref="T25">
    <cfRule type="expression" dxfId="41" priority="31">
      <formula>$G24=7</formula>
    </cfRule>
    <cfRule type="expression" dxfId="40" priority="32">
      <formula>$G24=1</formula>
    </cfRule>
  </conditionalFormatting>
  <conditionalFormatting sqref="U25">
    <cfRule type="expression" dxfId="39" priority="11">
      <formula>$G24=7</formula>
    </cfRule>
    <cfRule type="expression" dxfId="38" priority="12">
      <formula>$G24=1</formula>
    </cfRule>
  </conditionalFormatting>
  <conditionalFormatting sqref="R8:S9 Q3:Q6 Q8:Q24 Q26 R15:R25">
    <cfRule type="expression" dxfId="37" priority="65">
      <formula>$G2=7</formula>
    </cfRule>
    <cfRule type="expression" dxfId="36" priority="66">
      <formula>$G2=1</formula>
    </cfRule>
  </conditionalFormatting>
  <conditionalFormatting sqref="Q7:S7">
    <cfRule type="expression" dxfId="35" priority="67">
      <formula>$G4=7</formula>
    </cfRule>
    <cfRule type="expression" dxfId="34" priority="68">
      <formula>$G4=1</formula>
    </cfRule>
  </conditionalFormatting>
  <conditionalFormatting sqref="T7">
    <cfRule type="expression" dxfId="33" priority="57">
      <formula>$G4=7</formula>
    </cfRule>
    <cfRule type="expression" dxfId="32" priority="58">
      <formula>$G4=1</formula>
    </cfRule>
  </conditionalFormatting>
  <conditionalFormatting sqref="S27">
    <cfRule type="expression" dxfId="31" priority="39">
      <formula>$G24=7</formula>
    </cfRule>
    <cfRule type="expression" dxfId="30" priority="40">
      <formula>$G24=1</formula>
    </cfRule>
  </conditionalFormatting>
  <conditionalFormatting sqref="T27">
    <cfRule type="expression" dxfId="29" priority="37">
      <formula>$G24=7</formula>
    </cfRule>
    <cfRule type="expression" dxfId="28" priority="38">
      <formula>$G24=1</formula>
    </cfRule>
  </conditionalFormatting>
  <conditionalFormatting sqref="U69 U236:U240 U145:U149 U173:U187">
    <cfRule type="expression" dxfId="27" priority="29">
      <formula>$G68=7</formula>
    </cfRule>
    <cfRule type="expression" dxfId="26" priority="30">
      <formula>$G68=1</formula>
    </cfRule>
  </conditionalFormatting>
  <conditionalFormatting sqref="U3:U6 U10:U24 U26 U28:U41">
    <cfRule type="expression" dxfId="25" priority="23">
      <formula>$G2=7</formula>
    </cfRule>
    <cfRule type="expression" dxfId="24" priority="24">
      <formula>$G2=1</formula>
    </cfRule>
  </conditionalFormatting>
  <conditionalFormatting sqref="U299:U300 U202:U203">
    <cfRule type="expression" dxfId="23" priority="21">
      <formula>$G201=7</formula>
    </cfRule>
    <cfRule type="expression" dxfId="22" priority="22">
      <formula>$G201=1</formula>
    </cfRule>
  </conditionalFormatting>
  <conditionalFormatting sqref="U70 U123:U144 U43:U68 U72:U112">
    <cfRule type="expression" dxfId="21" priority="19">
      <formula>$G42=7</formula>
    </cfRule>
    <cfRule type="expression" dxfId="20" priority="20">
      <formula>$G42=1</formula>
    </cfRule>
  </conditionalFormatting>
  <conditionalFormatting sqref="U241:U270 U301:U329 U338:U344 U188:U200 U205:U231 U233:U235 U279:U298">
    <cfRule type="expression" dxfId="19" priority="17">
      <formula>$G187=7</formula>
    </cfRule>
    <cfRule type="expression" dxfId="18" priority="18">
      <formula>$G187=1</formula>
    </cfRule>
  </conditionalFormatting>
  <conditionalFormatting sqref="U42">
    <cfRule type="expression" dxfId="17" priority="15">
      <formula>$G41=7</formula>
    </cfRule>
    <cfRule type="expression" dxfId="16" priority="16">
      <formula>$G41=1</formula>
    </cfRule>
  </conditionalFormatting>
  <conditionalFormatting sqref="U7">
    <cfRule type="expression" dxfId="15" priority="27">
      <formula>$G4=7</formula>
    </cfRule>
    <cfRule type="expression" dxfId="14" priority="28">
      <formula>$G4=1</formula>
    </cfRule>
  </conditionalFormatting>
  <conditionalFormatting sqref="U27">
    <cfRule type="expression" dxfId="13" priority="13">
      <formula>$G24=7</formula>
    </cfRule>
    <cfRule type="expression" dxfId="12" priority="14">
      <formula>$G24=1</formula>
    </cfRule>
  </conditionalFormatting>
  <conditionalFormatting sqref="Q113:U114">
    <cfRule type="expression" dxfId="11" priority="9">
      <formula>$G112=7</formula>
    </cfRule>
    <cfRule type="expression" dxfId="10" priority="10">
      <formula>$G112=1</formula>
    </cfRule>
  </conditionalFormatting>
  <conditionalFormatting sqref="Q150:U152">
    <cfRule type="expression" dxfId="9" priority="71">
      <formula>$G150=7</formula>
    </cfRule>
    <cfRule type="expression" dxfId="8" priority="72">
      <formula>$G150=1</formula>
    </cfRule>
  </conditionalFormatting>
  <conditionalFormatting sqref="Q232">
    <cfRule type="expression" dxfId="7" priority="7">
      <formula>$G231=7</formula>
    </cfRule>
    <cfRule type="expression" dxfId="6" priority="8">
      <formula>$G231=1</formula>
    </cfRule>
  </conditionalFormatting>
  <conditionalFormatting sqref="R232">
    <cfRule type="expression" dxfId="5" priority="5">
      <formula>$G231=7</formula>
    </cfRule>
    <cfRule type="expression" dxfId="4" priority="6">
      <formula>$G231=1</formula>
    </cfRule>
  </conditionalFormatting>
  <conditionalFormatting sqref="S232:T232">
    <cfRule type="expression" dxfId="3" priority="3">
      <formula>$G231=7</formula>
    </cfRule>
    <cfRule type="expression" dxfId="2" priority="4">
      <formula>$G231=1</formula>
    </cfRule>
  </conditionalFormatting>
  <conditionalFormatting sqref="U232">
    <cfRule type="expression" dxfId="1" priority="1">
      <formula>$G231=7</formula>
    </cfRule>
    <cfRule type="expression" dxfId="0" priority="2">
      <formula>$G231=1</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367" id="{B3A32AA0-270C-4558-9CC6-04D537BB5FB4}">
            <xm:f>IF('Location A'!$X$1=185,MATCH('Location A'!C6,$P$4:$P$30,0),MATCH('Location A'!C6,$Q$4:$Q$30,0))</xm:f>
            <x14:dxf/>
          </x14:cfRule>
          <xm:sqref>C6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P282"/>
  <sheetViews>
    <sheetView workbookViewId="0">
      <selection activeCell="M82" sqref="M82"/>
    </sheetView>
  </sheetViews>
  <sheetFormatPr defaultRowHeight="15" x14ac:dyDescent="0.25"/>
  <cols>
    <col min="1" max="1" width="10.5703125" bestFit="1" customWidth="1"/>
    <col min="6" max="6" width="10.5703125" bestFit="1" customWidth="1"/>
    <col min="9" max="9" width="10.5703125" bestFit="1" customWidth="1"/>
    <col min="11" max="11" width="10.5703125" bestFit="1" customWidth="1"/>
  </cols>
  <sheetData>
    <row r="1" spans="1:16" x14ac:dyDescent="0.25">
      <c r="A1" t="s">
        <v>54</v>
      </c>
      <c r="D1">
        <v>185</v>
      </c>
      <c r="F1" t="s">
        <v>55</v>
      </c>
      <c r="I1" t="s">
        <v>56</v>
      </c>
      <c r="K1" t="s">
        <v>57</v>
      </c>
      <c r="M1" t="s">
        <v>58</v>
      </c>
      <c r="O1" t="s">
        <v>59</v>
      </c>
    </row>
    <row r="2" spans="1:16" x14ac:dyDescent="0.25">
      <c r="A2" s="60">
        <v>43327</v>
      </c>
      <c r="B2" s="61">
        <v>185</v>
      </c>
      <c r="D2">
        <v>177</v>
      </c>
      <c r="F2" s="60">
        <v>43299</v>
      </c>
      <c r="G2">
        <v>177</v>
      </c>
      <c r="I2" s="60">
        <v>43299</v>
      </c>
      <c r="J2">
        <v>177</v>
      </c>
      <c r="K2" s="60">
        <v>43299</v>
      </c>
      <c r="L2">
        <v>177</v>
      </c>
      <c r="M2" s="60">
        <v>43299</v>
      </c>
      <c r="N2">
        <v>177</v>
      </c>
      <c r="O2" s="60">
        <v>43299</v>
      </c>
      <c r="P2">
        <v>177</v>
      </c>
    </row>
    <row r="3" spans="1:16" x14ac:dyDescent="0.25">
      <c r="A3" s="60">
        <v>43328</v>
      </c>
      <c r="B3" s="61">
        <v>184</v>
      </c>
      <c r="F3" s="60">
        <v>43300</v>
      </c>
      <c r="G3">
        <v>176</v>
      </c>
      <c r="I3" s="60">
        <v>43300</v>
      </c>
      <c r="J3">
        <v>176</v>
      </c>
      <c r="K3" s="60">
        <v>43300</v>
      </c>
      <c r="L3">
        <v>176</v>
      </c>
      <c r="M3" s="60">
        <v>43300</v>
      </c>
      <c r="N3">
        <v>176</v>
      </c>
      <c r="O3" s="60">
        <v>43300</v>
      </c>
      <c r="P3">
        <v>176</v>
      </c>
    </row>
    <row r="4" spans="1:16" x14ac:dyDescent="0.25">
      <c r="A4" s="60">
        <v>43329</v>
      </c>
      <c r="B4" s="61">
        <v>183</v>
      </c>
      <c r="F4" s="60">
        <v>43301</v>
      </c>
      <c r="G4">
        <v>175</v>
      </c>
      <c r="I4" s="60">
        <v>43301</v>
      </c>
      <c r="J4">
        <v>175</v>
      </c>
      <c r="K4" s="60">
        <v>43301</v>
      </c>
      <c r="L4">
        <v>175</v>
      </c>
      <c r="M4" s="60">
        <v>43301</v>
      </c>
      <c r="N4">
        <v>175</v>
      </c>
      <c r="O4" s="60">
        <v>43301</v>
      </c>
      <c r="P4">
        <v>175</v>
      </c>
    </row>
    <row r="5" spans="1:16" x14ac:dyDescent="0.25">
      <c r="A5" s="60">
        <v>43332</v>
      </c>
      <c r="B5" s="61">
        <v>182</v>
      </c>
      <c r="F5" s="60">
        <v>43304</v>
      </c>
      <c r="G5">
        <v>174</v>
      </c>
      <c r="I5" s="60">
        <v>43304</v>
      </c>
      <c r="J5">
        <v>174</v>
      </c>
      <c r="K5" s="60">
        <v>43304</v>
      </c>
      <c r="L5">
        <v>174</v>
      </c>
      <c r="M5" s="60">
        <v>43304</v>
      </c>
      <c r="N5">
        <v>174</v>
      </c>
      <c r="O5" s="60">
        <v>43304</v>
      </c>
      <c r="P5">
        <v>174</v>
      </c>
    </row>
    <row r="6" spans="1:16" x14ac:dyDescent="0.25">
      <c r="A6" s="60">
        <v>43333</v>
      </c>
      <c r="B6" s="61">
        <v>181</v>
      </c>
      <c r="F6" s="60">
        <v>43306</v>
      </c>
      <c r="G6">
        <v>173</v>
      </c>
      <c r="I6" s="60">
        <v>43306</v>
      </c>
      <c r="J6">
        <v>173</v>
      </c>
      <c r="K6" s="60">
        <v>43306</v>
      </c>
      <c r="L6">
        <v>173</v>
      </c>
      <c r="M6" s="60">
        <v>43306</v>
      </c>
      <c r="N6">
        <v>173</v>
      </c>
      <c r="O6" s="60">
        <v>43306</v>
      </c>
      <c r="P6">
        <v>173</v>
      </c>
    </row>
    <row r="7" spans="1:16" x14ac:dyDescent="0.25">
      <c r="A7" s="60">
        <v>43334</v>
      </c>
      <c r="B7" s="61">
        <v>180</v>
      </c>
      <c r="F7" s="60">
        <v>43307</v>
      </c>
      <c r="G7">
        <v>172</v>
      </c>
      <c r="I7" s="60">
        <v>43307</v>
      </c>
      <c r="J7">
        <v>172</v>
      </c>
      <c r="K7" s="60">
        <v>43307</v>
      </c>
      <c r="L7">
        <v>172</v>
      </c>
      <c r="M7" s="60">
        <v>43307</v>
      </c>
      <c r="N7">
        <v>172</v>
      </c>
      <c r="O7" s="60">
        <v>43307</v>
      </c>
      <c r="P7">
        <v>172</v>
      </c>
    </row>
    <row r="8" spans="1:16" x14ac:dyDescent="0.25">
      <c r="A8" s="60">
        <v>43335</v>
      </c>
      <c r="B8" s="61">
        <v>179</v>
      </c>
      <c r="F8" s="60">
        <v>43308</v>
      </c>
      <c r="G8">
        <v>171</v>
      </c>
      <c r="I8" s="60">
        <v>43308</v>
      </c>
      <c r="J8">
        <v>171</v>
      </c>
      <c r="K8" s="60">
        <v>43308</v>
      </c>
      <c r="L8">
        <v>171</v>
      </c>
      <c r="M8" s="60">
        <v>43308</v>
      </c>
      <c r="N8">
        <v>171</v>
      </c>
      <c r="O8" s="60">
        <v>43308</v>
      </c>
      <c r="P8">
        <v>171</v>
      </c>
    </row>
    <row r="9" spans="1:16" x14ac:dyDescent="0.25">
      <c r="A9" s="60">
        <v>43336</v>
      </c>
      <c r="B9" s="61">
        <v>178</v>
      </c>
      <c r="F9" s="60">
        <v>43311</v>
      </c>
      <c r="G9">
        <v>170</v>
      </c>
      <c r="I9" s="60">
        <v>43311</v>
      </c>
      <c r="J9">
        <v>170</v>
      </c>
      <c r="K9" s="60">
        <v>43311</v>
      </c>
      <c r="L9">
        <v>170</v>
      </c>
      <c r="M9" s="60">
        <v>43311</v>
      </c>
      <c r="N9">
        <v>170</v>
      </c>
      <c r="O9" s="60">
        <v>43311</v>
      </c>
      <c r="P9">
        <v>170</v>
      </c>
    </row>
    <row r="10" spans="1:16" x14ac:dyDescent="0.25">
      <c r="A10" s="60">
        <v>43339</v>
      </c>
      <c r="B10" s="61">
        <v>177</v>
      </c>
      <c r="F10" s="60">
        <v>43312</v>
      </c>
      <c r="G10">
        <v>169</v>
      </c>
      <c r="I10" s="60">
        <v>43312</v>
      </c>
      <c r="J10">
        <v>169</v>
      </c>
      <c r="K10" s="60">
        <v>43312</v>
      </c>
      <c r="L10">
        <v>169</v>
      </c>
      <c r="M10" s="60">
        <v>43312</v>
      </c>
      <c r="N10">
        <v>169</v>
      </c>
      <c r="O10" s="60">
        <v>43312</v>
      </c>
      <c r="P10">
        <v>169</v>
      </c>
    </row>
    <row r="11" spans="1:16" x14ac:dyDescent="0.25">
      <c r="A11" s="60">
        <v>43340</v>
      </c>
      <c r="B11" s="61">
        <v>176</v>
      </c>
      <c r="F11" s="60">
        <v>43313</v>
      </c>
      <c r="G11">
        <v>168</v>
      </c>
      <c r="I11" s="60">
        <v>43313</v>
      </c>
      <c r="J11">
        <v>168</v>
      </c>
      <c r="K11" s="60">
        <v>43313</v>
      </c>
      <c r="L11">
        <v>168</v>
      </c>
      <c r="M11" s="60">
        <v>43313</v>
      </c>
      <c r="N11">
        <v>168</v>
      </c>
      <c r="O11" s="60">
        <v>43313</v>
      </c>
      <c r="P11">
        <v>168</v>
      </c>
    </row>
    <row r="12" spans="1:16" x14ac:dyDescent="0.25">
      <c r="A12" s="60">
        <v>43341</v>
      </c>
      <c r="B12" s="61">
        <v>175</v>
      </c>
      <c r="F12" s="60">
        <v>43314</v>
      </c>
      <c r="G12">
        <v>167</v>
      </c>
      <c r="I12" s="60">
        <v>43314</v>
      </c>
      <c r="J12">
        <v>167</v>
      </c>
      <c r="K12" s="60">
        <v>43314</v>
      </c>
      <c r="L12">
        <v>167</v>
      </c>
      <c r="M12" s="60">
        <v>43314</v>
      </c>
      <c r="N12">
        <v>167</v>
      </c>
      <c r="O12" s="60">
        <v>43314</v>
      </c>
      <c r="P12">
        <v>167</v>
      </c>
    </row>
    <row r="13" spans="1:16" x14ac:dyDescent="0.25">
      <c r="A13" s="60">
        <v>43342</v>
      </c>
      <c r="B13" s="61">
        <v>174</v>
      </c>
      <c r="F13" s="60">
        <v>43315</v>
      </c>
      <c r="G13">
        <v>166</v>
      </c>
      <c r="I13" s="60">
        <v>43315</v>
      </c>
      <c r="J13">
        <v>166</v>
      </c>
      <c r="K13" s="60">
        <v>43315</v>
      </c>
      <c r="L13">
        <v>166</v>
      </c>
      <c r="M13" s="60">
        <v>43315</v>
      </c>
      <c r="N13">
        <v>166</v>
      </c>
      <c r="O13" s="60">
        <v>43315</v>
      </c>
      <c r="P13">
        <v>166</v>
      </c>
    </row>
    <row r="14" spans="1:16" x14ac:dyDescent="0.25">
      <c r="A14" s="60">
        <v>43343</v>
      </c>
      <c r="B14" s="61">
        <v>173</v>
      </c>
      <c r="F14" s="60">
        <v>43318</v>
      </c>
      <c r="G14">
        <v>165</v>
      </c>
      <c r="I14" s="60">
        <v>43318</v>
      </c>
      <c r="J14">
        <v>165</v>
      </c>
      <c r="K14" s="60">
        <v>43318</v>
      </c>
      <c r="L14">
        <v>165</v>
      </c>
      <c r="M14" s="60">
        <v>43318</v>
      </c>
      <c r="N14">
        <v>165</v>
      </c>
      <c r="O14" s="60">
        <v>43318</v>
      </c>
      <c r="P14">
        <v>165</v>
      </c>
    </row>
    <row r="15" spans="1:16" x14ac:dyDescent="0.25">
      <c r="A15" s="60">
        <v>43347</v>
      </c>
      <c r="B15" s="61">
        <v>172</v>
      </c>
      <c r="F15" s="60">
        <v>43319</v>
      </c>
      <c r="G15">
        <v>164</v>
      </c>
      <c r="I15" s="60">
        <v>43319</v>
      </c>
      <c r="J15">
        <v>164</v>
      </c>
      <c r="K15" s="60">
        <v>43319</v>
      </c>
      <c r="L15">
        <v>164</v>
      </c>
      <c r="M15" s="60">
        <v>43319</v>
      </c>
      <c r="N15">
        <v>164</v>
      </c>
      <c r="O15" s="60">
        <v>43319</v>
      </c>
      <c r="P15">
        <v>164</v>
      </c>
    </row>
    <row r="16" spans="1:16" x14ac:dyDescent="0.25">
      <c r="A16" s="60">
        <v>43348</v>
      </c>
      <c r="B16" s="61">
        <v>171</v>
      </c>
      <c r="F16" s="60">
        <v>43320</v>
      </c>
      <c r="G16">
        <v>163</v>
      </c>
      <c r="I16" s="60">
        <v>43320</v>
      </c>
      <c r="J16">
        <v>163</v>
      </c>
      <c r="K16" s="60">
        <v>43320</v>
      </c>
      <c r="L16">
        <v>163</v>
      </c>
      <c r="M16" s="60">
        <v>43320</v>
      </c>
      <c r="N16">
        <v>163</v>
      </c>
      <c r="O16" s="60">
        <v>43320</v>
      </c>
      <c r="P16">
        <v>163</v>
      </c>
    </row>
    <row r="17" spans="1:16" x14ac:dyDescent="0.25">
      <c r="A17" s="60">
        <v>43349</v>
      </c>
      <c r="B17" s="61">
        <v>170</v>
      </c>
      <c r="F17" s="60">
        <v>43321</v>
      </c>
      <c r="G17">
        <v>162</v>
      </c>
      <c r="I17" s="60">
        <v>43321</v>
      </c>
      <c r="J17">
        <v>162</v>
      </c>
      <c r="K17" s="60">
        <v>43321</v>
      </c>
      <c r="L17">
        <v>162</v>
      </c>
      <c r="M17" s="60">
        <v>43321</v>
      </c>
      <c r="N17">
        <v>162</v>
      </c>
      <c r="O17" s="60">
        <v>43321</v>
      </c>
      <c r="P17">
        <v>162</v>
      </c>
    </row>
    <row r="18" spans="1:16" x14ac:dyDescent="0.25">
      <c r="A18" s="60">
        <v>43350</v>
      </c>
      <c r="B18" s="61">
        <v>169</v>
      </c>
      <c r="F18" s="60">
        <v>43322</v>
      </c>
      <c r="G18">
        <v>161</v>
      </c>
      <c r="I18" s="60">
        <v>43322</v>
      </c>
      <c r="J18">
        <v>161</v>
      </c>
      <c r="K18" s="60">
        <v>43322</v>
      </c>
      <c r="L18">
        <v>161</v>
      </c>
      <c r="M18" s="60">
        <v>43322</v>
      </c>
      <c r="N18">
        <v>161</v>
      </c>
      <c r="O18" s="60">
        <v>43322</v>
      </c>
      <c r="P18">
        <v>161</v>
      </c>
    </row>
    <row r="19" spans="1:16" x14ac:dyDescent="0.25">
      <c r="A19" s="60">
        <v>43353</v>
      </c>
      <c r="B19" s="61">
        <v>168</v>
      </c>
      <c r="F19" s="60">
        <v>43325</v>
      </c>
      <c r="G19">
        <v>160</v>
      </c>
      <c r="I19" s="60">
        <v>43325</v>
      </c>
      <c r="J19">
        <v>160</v>
      </c>
      <c r="K19" s="60">
        <v>43347</v>
      </c>
      <c r="L19">
        <v>160</v>
      </c>
      <c r="M19" s="60">
        <v>43325</v>
      </c>
      <c r="N19">
        <v>160</v>
      </c>
      <c r="O19" s="60">
        <v>43325</v>
      </c>
      <c r="P19">
        <v>160</v>
      </c>
    </row>
    <row r="20" spans="1:16" x14ac:dyDescent="0.25">
      <c r="A20" s="60">
        <v>43354</v>
      </c>
      <c r="B20" s="61">
        <v>167</v>
      </c>
      <c r="F20" s="60">
        <v>43326</v>
      </c>
      <c r="G20">
        <v>159</v>
      </c>
      <c r="I20" s="60">
        <v>43326</v>
      </c>
      <c r="J20">
        <v>159</v>
      </c>
      <c r="K20" s="60">
        <v>43348</v>
      </c>
      <c r="L20">
        <v>159</v>
      </c>
      <c r="M20" s="60">
        <v>43326</v>
      </c>
      <c r="N20">
        <v>159</v>
      </c>
      <c r="O20" s="60">
        <v>43326</v>
      </c>
      <c r="P20">
        <v>159</v>
      </c>
    </row>
    <row r="21" spans="1:16" x14ac:dyDescent="0.25">
      <c r="A21" s="60">
        <v>43355</v>
      </c>
      <c r="B21" s="61">
        <v>166</v>
      </c>
      <c r="F21" s="60">
        <v>43327</v>
      </c>
      <c r="G21">
        <v>158</v>
      </c>
      <c r="I21" s="60">
        <v>43327</v>
      </c>
      <c r="J21">
        <v>158</v>
      </c>
      <c r="K21" s="60">
        <v>43349</v>
      </c>
      <c r="L21">
        <v>158</v>
      </c>
      <c r="M21" s="60">
        <v>43327</v>
      </c>
      <c r="N21">
        <v>158</v>
      </c>
      <c r="O21" s="60">
        <v>43327</v>
      </c>
      <c r="P21">
        <v>158</v>
      </c>
    </row>
    <row r="22" spans="1:16" x14ac:dyDescent="0.25">
      <c r="A22" s="60">
        <v>43356</v>
      </c>
      <c r="B22" s="61">
        <v>165</v>
      </c>
      <c r="F22" s="60">
        <v>43328</v>
      </c>
      <c r="G22">
        <v>157</v>
      </c>
      <c r="I22" s="60">
        <v>43328</v>
      </c>
      <c r="J22">
        <v>157</v>
      </c>
      <c r="K22" s="60">
        <v>43350</v>
      </c>
      <c r="L22">
        <v>157</v>
      </c>
      <c r="M22" s="60">
        <v>43328</v>
      </c>
      <c r="N22">
        <v>157</v>
      </c>
      <c r="O22" s="60">
        <v>43328</v>
      </c>
      <c r="P22">
        <v>157</v>
      </c>
    </row>
    <row r="23" spans="1:16" x14ac:dyDescent="0.25">
      <c r="A23" s="60">
        <v>43357</v>
      </c>
      <c r="B23" s="61">
        <v>164</v>
      </c>
      <c r="F23" s="60">
        <v>43329</v>
      </c>
      <c r="G23">
        <v>156</v>
      </c>
      <c r="I23" s="60">
        <v>43329</v>
      </c>
      <c r="J23">
        <v>156</v>
      </c>
      <c r="K23" s="60">
        <v>43353</v>
      </c>
      <c r="L23">
        <v>156</v>
      </c>
      <c r="M23" s="60">
        <v>43329</v>
      </c>
      <c r="N23">
        <v>156</v>
      </c>
      <c r="O23" s="60">
        <v>43329</v>
      </c>
      <c r="P23">
        <v>156</v>
      </c>
    </row>
    <row r="24" spans="1:16" x14ac:dyDescent="0.25">
      <c r="A24" s="60">
        <v>43360</v>
      </c>
      <c r="B24" s="61">
        <v>163</v>
      </c>
      <c r="F24" s="60">
        <v>43332</v>
      </c>
      <c r="G24">
        <v>155</v>
      </c>
      <c r="I24" s="60">
        <v>43332</v>
      </c>
      <c r="J24">
        <v>155</v>
      </c>
      <c r="K24" s="60">
        <v>43354</v>
      </c>
      <c r="L24">
        <v>155</v>
      </c>
      <c r="M24" s="60">
        <v>43332</v>
      </c>
      <c r="N24">
        <v>155</v>
      </c>
      <c r="O24" s="60">
        <v>43332</v>
      </c>
      <c r="P24">
        <v>155</v>
      </c>
    </row>
    <row r="25" spans="1:16" x14ac:dyDescent="0.25">
      <c r="A25" s="60">
        <v>43361</v>
      </c>
      <c r="B25" s="61">
        <v>162</v>
      </c>
      <c r="F25" s="60">
        <v>43333</v>
      </c>
      <c r="G25">
        <v>154</v>
      </c>
      <c r="I25" s="60">
        <v>43333</v>
      </c>
      <c r="J25">
        <v>154</v>
      </c>
      <c r="K25" s="60">
        <v>43355</v>
      </c>
      <c r="L25">
        <v>154</v>
      </c>
      <c r="M25" s="60">
        <v>43333</v>
      </c>
      <c r="N25">
        <v>154</v>
      </c>
      <c r="O25" s="60">
        <v>43333</v>
      </c>
      <c r="P25">
        <v>154</v>
      </c>
    </row>
    <row r="26" spans="1:16" x14ac:dyDescent="0.25">
      <c r="A26" s="60">
        <v>43362</v>
      </c>
      <c r="B26" s="61">
        <v>161</v>
      </c>
      <c r="F26" s="60">
        <v>43334</v>
      </c>
      <c r="G26">
        <v>153</v>
      </c>
      <c r="I26" s="60">
        <v>43334</v>
      </c>
      <c r="J26">
        <v>153</v>
      </c>
      <c r="K26" s="60">
        <v>43356</v>
      </c>
      <c r="L26">
        <v>153</v>
      </c>
      <c r="M26" s="60">
        <v>43334</v>
      </c>
      <c r="N26">
        <v>153</v>
      </c>
      <c r="O26" s="60">
        <v>43334</v>
      </c>
      <c r="P26">
        <v>153</v>
      </c>
    </row>
    <row r="27" spans="1:16" x14ac:dyDescent="0.25">
      <c r="A27" s="60">
        <v>43363</v>
      </c>
      <c r="B27" s="61">
        <v>160</v>
      </c>
      <c r="F27" s="60">
        <v>43335</v>
      </c>
      <c r="G27">
        <v>152</v>
      </c>
      <c r="I27" s="60">
        <v>43335</v>
      </c>
      <c r="J27">
        <v>152</v>
      </c>
      <c r="K27" s="60">
        <v>43357</v>
      </c>
      <c r="L27">
        <v>152</v>
      </c>
      <c r="M27" s="60">
        <v>43335</v>
      </c>
      <c r="N27">
        <v>152</v>
      </c>
      <c r="O27" s="60">
        <v>43335</v>
      </c>
      <c r="P27">
        <v>152</v>
      </c>
    </row>
    <row r="28" spans="1:16" x14ac:dyDescent="0.25">
      <c r="A28" s="60">
        <v>43364</v>
      </c>
      <c r="B28" s="61">
        <v>159</v>
      </c>
      <c r="F28" s="60">
        <v>43336</v>
      </c>
      <c r="G28">
        <v>151</v>
      </c>
      <c r="I28" s="60">
        <v>43336</v>
      </c>
      <c r="J28">
        <v>151</v>
      </c>
      <c r="K28" s="60">
        <v>43360</v>
      </c>
      <c r="L28">
        <v>151</v>
      </c>
      <c r="M28" s="60">
        <v>43336</v>
      </c>
      <c r="N28">
        <v>151</v>
      </c>
      <c r="O28" s="60">
        <v>43336</v>
      </c>
      <c r="P28">
        <v>151</v>
      </c>
    </row>
    <row r="29" spans="1:16" x14ac:dyDescent="0.25">
      <c r="A29" s="60">
        <v>43367</v>
      </c>
      <c r="B29" s="61">
        <v>158</v>
      </c>
      <c r="F29" s="60">
        <v>43339</v>
      </c>
      <c r="G29">
        <v>150</v>
      </c>
      <c r="I29" s="60">
        <v>43339</v>
      </c>
      <c r="J29">
        <v>150</v>
      </c>
      <c r="K29" s="60">
        <v>43361</v>
      </c>
      <c r="L29">
        <v>150</v>
      </c>
      <c r="M29" s="60">
        <v>43339</v>
      </c>
      <c r="N29">
        <v>150</v>
      </c>
      <c r="O29" s="60">
        <v>43339</v>
      </c>
      <c r="P29">
        <v>150</v>
      </c>
    </row>
    <row r="30" spans="1:16" x14ac:dyDescent="0.25">
      <c r="A30" s="60">
        <v>43368</v>
      </c>
      <c r="B30" s="61">
        <v>157</v>
      </c>
      <c r="F30" s="60">
        <v>43340</v>
      </c>
      <c r="G30">
        <v>149</v>
      </c>
      <c r="I30" s="60">
        <v>43340</v>
      </c>
      <c r="J30">
        <v>149</v>
      </c>
      <c r="K30" s="60">
        <v>43362</v>
      </c>
      <c r="L30">
        <v>149</v>
      </c>
      <c r="M30" s="60">
        <v>43340</v>
      </c>
      <c r="N30">
        <v>149</v>
      </c>
      <c r="O30" s="60">
        <v>43340</v>
      </c>
      <c r="P30">
        <v>149</v>
      </c>
    </row>
    <row r="31" spans="1:16" x14ac:dyDescent="0.25">
      <c r="A31" s="60">
        <v>43369</v>
      </c>
      <c r="B31" s="61">
        <v>156</v>
      </c>
      <c r="F31" s="60">
        <v>43341</v>
      </c>
      <c r="G31">
        <v>148</v>
      </c>
      <c r="I31" s="60">
        <v>43341</v>
      </c>
      <c r="J31">
        <v>148</v>
      </c>
      <c r="K31" s="60">
        <v>43363</v>
      </c>
      <c r="L31">
        <v>148</v>
      </c>
      <c r="M31" s="60">
        <v>43341</v>
      </c>
      <c r="N31">
        <v>148</v>
      </c>
      <c r="O31" s="60">
        <v>43341</v>
      </c>
      <c r="P31">
        <v>148</v>
      </c>
    </row>
    <row r="32" spans="1:16" x14ac:dyDescent="0.25">
      <c r="A32" s="60">
        <v>43370</v>
      </c>
      <c r="B32" s="61">
        <v>155</v>
      </c>
      <c r="F32" s="60">
        <v>43342</v>
      </c>
      <c r="G32">
        <v>147</v>
      </c>
      <c r="I32" s="60">
        <v>43342</v>
      </c>
      <c r="J32">
        <v>147</v>
      </c>
      <c r="K32" s="60">
        <v>43364</v>
      </c>
      <c r="L32">
        <v>147</v>
      </c>
      <c r="M32" s="60">
        <v>43342</v>
      </c>
      <c r="N32">
        <v>147</v>
      </c>
      <c r="O32" s="60">
        <v>43342</v>
      </c>
      <c r="P32">
        <v>147</v>
      </c>
    </row>
    <row r="33" spans="1:16" x14ac:dyDescent="0.25">
      <c r="A33" s="60">
        <v>43371</v>
      </c>
      <c r="B33" s="61">
        <v>154</v>
      </c>
      <c r="F33" s="60">
        <v>43343</v>
      </c>
      <c r="G33">
        <v>146</v>
      </c>
      <c r="I33" s="60">
        <v>43343</v>
      </c>
      <c r="J33">
        <v>146</v>
      </c>
      <c r="K33" s="60">
        <v>43367</v>
      </c>
      <c r="L33">
        <v>146</v>
      </c>
      <c r="M33" s="60">
        <v>43343</v>
      </c>
      <c r="N33">
        <v>146</v>
      </c>
      <c r="O33" s="60">
        <v>43343</v>
      </c>
      <c r="P33">
        <v>146</v>
      </c>
    </row>
    <row r="34" spans="1:16" x14ac:dyDescent="0.25">
      <c r="A34" s="60">
        <v>43374</v>
      </c>
      <c r="B34" s="61">
        <v>153</v>
      </c>
      <c r="F34" s="60">
        <v>43347</v>
      </c>
      <c r="G34">
        <v>145</v>
      </c>
      <c r="I34" s="60">
        <v>43367</v>
      </c>
      <c r="J34">
        <v>145</v>
      </c>
      <c r="K34" s="60">
        <v>43368</v>
      </c>
      <c r="L34">
        <v>145</v>
      </c>
      <c r="M34" s="60">
        <v>43347</v>
      </c>
      <c r="N34">
        <v>145</v>
      </c>
      <c r="O34" s="60">
        <v>43347</v>
      </c>
      <c r="P34">
        <v>145</v>
      </c>
    </row>
    <row r="35" spans="1:16" x14ac:dyDescent="0.25">
      <c r="A35" s="60">
        <v>43375</v>
      </c>
      <c r="B35" s="61">
        <v>152</v>
      </c>
      <c r="F35" s="60">
        <v>43348</v>
      </c>
      <c r="G35">
        <v>144</v>
      </c>
      <c r="I35" s="60">
        <v>43368</v>
      </c>
      <c r="J35">
        <v>144</v>
      </c>
      <c r="K35" s="60">
        <v>43369</v>
      </c>
      <c r="L35">
        <v>144</v>
      </c>
      <c r="M35" s="60">
        <v>43348</v>
      </c>
      <c r="N35">
        <v>144</v>
      </c>
      <c r="O35" s="60">
        <v>43348</v>
      </c>
      <c r="P35">
        <v>144</v>
      </c>
    </row>
    <row r="36" spans="1:16" x14ac:dyDescent="0.25">
      <c r="A36" s="60">
        <v>43376</v>
      </c>
      <c r="B36" s="61">
        <v>151</v>
      </c>
      <c r="F36" s="60">
        <v>43349</v>
      </c>
      <c r="G36">
        <v>143</v>
      </c>
      <c r="I36" s="60">
        <v>43369</v>
      </c>
      <c r="J36">
        <v>143</v>
      </c>
      <c r="K36" s="60">
        <v>43370</v>
      </c>
      <c r="L36">
        <v>143</v>
      </c>
      <c r="M36" s="60">
        <v>43349</v>
      </c>
      <c r="N36">
        <v>143</v>
      </c>
      <c r="O36" s="60">
        <v>43349</v>
      </c>
      <c r="P36">
        <v>143</v>
      </c>
    </row>
    <row r="37" spans="1:16" x14ac:dyDescent="0.25">
      <c r="A37" s="60">
        <v>43377</v>
      </c>
      <c r="B37" s="61">
        <v>150</v>
      </c>
      <c r="F37" s="60">
        <v>43350</v>
      </c>
      <c r="G37">
        <v>142</v>
      </c>
      <c r="I37" s="60">
        <v>43370</v>
      </c>
      <c r="J37">
        <v>142</v>
      </c>
      <c r="K37" s="60">
        <v>43371</v>
      </c>
      <c r="L37">
        <v>142</v>
      </c>
      <c r="M37" s="60">
        <v>43350</v>
      </c>
      <c r="N37">
        <v>142</v>
      </c>
      <c r="O37" s="60">
        <v>43350</v>
      </c>
      <c r="P37">
        <v>142</v>
      </c>
    </row>
    <row r="38" spans="1:16" x14ac:dyDescent="0.25">
      <c r="A38" s="60">
        <v>43378</v>
      </c>
      <c r="B38" s="61">
        <v>149</v>
      </c>
      <c r="F38" s="60">
        <v>43353</v>
      </c>
      <c r="G38">
        <v>141</v>
      </c>
      <c r="I38" s="60">
        <v>43371</v>
      </c>
      <c r="J38">
        <v>141</v>
      </c>
      <c r="K38" s="60">
        <v>43374</v>
      </c>
      <c r="L38">
        <v>141</v>
      </c>
      <c r="M38" s="60">
        <v>43353</v>
      </c>
      <c r="N38">
        <v>141</v>
      </c>
      <c r="O38" s="60">
        <v>43353</v>
      </c>
      <c r="P38">
        <v>141</v>
      </c>
    </row>
    <row r="39" spans="1:16" x14ac:dyDescent="0.25">
      <c r="A39" s="60">
        <v>43381</v>
      </c>
      <c r="B39" s="61">
        <v>148</v>
      </c>
      <c r="F39" s="60">
        <v>43354</v>
      </c>
      <c r="G39">
        <v>140</v>
      </c>
      <c r="I39" s="60">
        <v>43374</v>
      </c>
      <c r="J39">
        <v>140</v>
      </c>
      <c r="K39" s="60">
        <v>43375</v>
      </c>
      <c r="L39">
        <v>140</v>
      </c>
      <c r="M39" s="60">
        <v>43354</v>
      </c>
      <c r="N39">
        <v>140</v>
      </c>
      <c r="O39" s="60">
        <v>43354</v>
      </c>
      <c r="P39">
        <v>140</v>
      </c>
    </row>
    <row r="40" spans="1:16" x14ac:dyDescent="0.25">
      <c r="A40" s="60">
        <v>43382</v>
      </c>
      <c r="B40" s="61">
        <v>147</v>
      </c>
      <c r="F40" s="60">
        <v>43355</v>
      </c>
      <c r="G40">
        <v>139</v>
      </c>
      <c r="I40" s="60">
        <v>43375</v>
      </c>
      <c r="J40">
        <v>139</v>
      </c>
      <c r="K40" s="60">
        <v>43376</v>
      </c>
      <c r="L40">
        <v>139</v>
      </c>
      <c r="M40" s="60">
        <v>43355</v>
      </c>
      <c r="N40">
        <v>139</v>
      </c>
      <c r="O40" s="60">
        <v>43355</v>
      </c>
      <c r="P40">
        <v>139</v>
      </c>
    </row>
    <row r="41" spans="1:16" x14ac:dyDescent="0.25">
      <c r="A41" s="60">
        <v>43383</v>
      </c>
      <c r="B41" s="61">
        <v>146</v>
      </c>
      <c r="F41" s="60">
        <v>43356</v>
      </c>
      <c r="G41">
        <v>138</v>
      </c>
      <c r="I41" s="60">
        <v>43376</v>
      </c>
      <c r="J41">
        <v>138</v>
      </c>
      <c r="K41" s="60">
        <v>43377</v>
      </c>
      <c r="L41">
        <v>138</v>
      </c>
      <c r="M41" s="60">
        <v>43356</v>
      </c>
      <c r="N41">
        <v>138</v>
      </c>
      <c r="O41" s="60">
        <v>43356</v>
      </c>
      <c r="P41">
        <v>138</v>
      </c>
    </row>
    <row r="42" spans="1:16" x14ac:dyDescent="0.25">
      <c r="A42" s="60">
        <v>43384</v>
      </c>
      <c r="B42" s="61">
        <v>145</v>
      </c>
      <c r="F42" s="60">
        <v>43357</v>
      </c>
      <c r="G42">
        <v>137</v>
      </c>
      <c r="I42" s="60">
        <v>43377</v>
      </c>
      <c r="J42">
        <v>137</v>
      </c>
      <c r="K42" s="60">
        <v>43378</v>
      </c>
      <c r="L42">
        <v>137</v>
      </c>
      <c r="M42" s="60">
        <v>43357</v>
      </c>
      <c r="N42">
        <v>137</v>
      </c>
      <c r="O42" s="60">
        <v>43357</v>
      </c>
      <c r="P42">
        <v>137</v>
      </c>
    </row>
    <row r="43" spans="1:16" x14ac:dyDescent="0.25">
      <c r="A43" s="60">
        <v>43385</v>
      </c>
      <c r="B43" s="61">
        <v>144</v>
      </c>
      <c r="F43" s="60">
        <v>43360</v>
      </c>
      <c r="G43">
        <v>136</v>
      </c>
      <c r="I43" s="60">
        <v>43378</v>
      </c>
      <c r="J43">
        <v>136</v>
      </c>
      <c r="K43" s="60">
        <v>43381</v>
      </c>
      <c r="L43">
        <v>136</v>
      </c>
      <c r="M43" s="60">
        <v>43360</v>
      </c>
      <c r="N43">
        <v>136</v>
      </c>
      <c r="O43" s="60">
        <v>43360</v>
      </c>
      <c r="P43">
        <v>136</v>
      </c>
    </row>
    <row r="44" spans="1:16" x14ac:dyDescent="0.25">
      <c r="A44" s="60">
        <v>43388</v>
      </c>
      <c r="B44" s="61">
        <v>143</v>
      </c>
      <c r="F44" s="60">
        <v>43361</v>
      </c>
      <c r="G44">
        <v>135</v>
      </c>
      <c r="I44" s="60">
        <v>43381</v>
      </c>
      <c r="J44">
        <v>135</v>
      </c>
      <c r="K44" s="60">
        <v>43382</v>
      </c>
      <c r="L44">
        <v>135</v>
      </c>
      <c r="M44" s="60">
        <v>43361</v>
      </c>
      <c r="N44">
        <v>135</v>
      </c>
      <c r="O44" s="60">
        <v>43361</v>
      </c>
      <c r="P44">
        <v>135</v>
      </c>
    </row>
    <row r="45" spans="1:16" x14ac:dyDescent="0.25">
      <c r="A45" s="60">
        <v>43389</v>
      </c>
      <c r="B45" s="61">
        <v>142</v>
      </c>
      <c r="F45" s="60">
        <v>43362</v>
      </c>
      <c r="G45">
        <v>134</v>
      </c>
      <c r="I45" s="60">
        <v>43382</v>
      </c>
      <c r="J45">
        <v>134</v>
      </c>
      <c r="K45" s="60">
        <v>43383</v>
      </c>
      <c r="L45">
        <v>134</v>
      </c>
      <c r="M45" s="60">
        <v>43362</v>
      </c>
      <c r="N45">
        <v>134</v>
      </c>
      <c r="O45" s="60">
        <v>43362</v>
      </c>
      <c r="P45">
        <v>134</v>
      </c>
    </row>
    <row r="46" spans="1:16" x14ac:dyDescent="0.25">
      <c r="A46" s="60">
        <v>43390</v>
      </c>
      <c r="B46" s="61">
        <v>141</v>
      </c>
      <c r="F46" s="60">
        <v>43363</v>
      </c>
      <c r="G46">
        <v>133</v>
      </c>
      <c r="I46" s="60">
        <v>43383</v>
      </c>
      <c r="J46">
        <v>133</v>
      </c>
      <c r="K46" s="60">
        <v>43384</v>
      </c>
      <c r="L46">
        <v>133</v>
      </c>
      <c r="M46" s="60">
        <v>43363</v>
      </c>
      <c r="N46">
        <v>133</v>
      </c>
      <c r="O46" s="60">
        <v>43363</v>
      </c>
      <c r="P46">
        <v>133</v>
      </c>
    </row>
    <row r="47" spans="1:16" x14ac:dyDescent="0.25">
      <c r="A47" s="60">
        <v>43395</v>
      </c>
      <c r="B47" s="61">
        <v>140</v>
      </c>
      <c r="F47" s="60">
        <v>43364</v>
      </c>
      <c r="G47">
        <v>132</v>
      </c>
      <c r="I47" s="60">
        <v>43384</v>
      </c>
      <c r="J47">
        <v>132</v>
      </c>
      <c r="K47" s="60">
        <v>43385</v>
      </c>
      <c r="L47">
        <v>132</v>
      </c>
      <c r="M47" s="60">
        <v>43364</v>
      </c>
      <c r="N47">
        <v>132</v>
      </c>
      <c r="O47" s="60">
        <v>43364</v>
      </c>
      <c r="P47">
        <v>132</v>
      </c>
    </row>
    <row r="48" spans="1:16" x14ac:dyDescent="0.25">
      <c r="A48" s="60">
        <v>43396</v>
      </c>
      <c r="B48" s="61">
        <v>139</v>
      </c>
      <c r="F48" s="60">
        <v>43388</v>
      </c>
      <c r="G48">
        <v>131</v>
      </c>
      <c r="I48" s="60">
        <v>43385</v>
      </c>
      <c r="J48">
        <v>131</v>
      </c>
      <c r="K48" s="60">
        <v>43388</v>
      </c>
      <c r="L48">
        <v>131</v>
      </c>
      <c r="M48" s="60">
        <v>43388</v>
      </c>
      <c r="N48">
        <v>131</v>
      </c>
      <c r="O48" s="60">
        <v>43388</v>
      </c>
      <c r="P48">
        <v>131</v>
      </c>
    </row>
    <row r="49" spans="1:16" x14ac:dyDescent="0.25">
      <c r="A49" s="60">
        <v>43397</v>
      </c>
      <c r="B49" s="61">
        <v>138</v>
      </c>
      <c r="F49" s="60">
        <v>43389</v>
      </c>
      <c r="G49">
        <v>130</v>
      </c>
      <c r="I49" s="60">
        <v>43388</v>
      </c>
      <c r="J49">
        <v>130</v>
      </c>
      <c r="K49" s="60">
        <v>43389</v>
      </c>
      <c r="L49">
        <v>130</v>
      </c>
      <c r="M49" s="60">
        <v>43389</v>
      </c>
      <c r="N49">
        <v>130</v>
      </c>
      <c r="O49" s="60">
        <v>43389</v>
      </c>
      <c r="P49">
        <v>130</v>
      </c>
    </row>
    <row r="50" spans="1:16" x14ac:dyDescent="0.25">
      <c r="A50" s="60">
        <v>43398</v>
      </c>
      <c r="B50" s="61">
        <v>137</v>
      </c>
      <c r="F50" s="60">
        <v>43390</v>
      </c>
      <c r="G50">
        <v>129</v>
      </c>
      <c r="I50" s="60">
        <v>43389</v>
      </c>
      <c r="J50">
        <v>129</v>
      </c>
      <c r="K50" s="60">
        <v>43390</v>
      </c>
      <c r="L50">
        <v>129</v>
      </c>
      <c r="M50" s="60">
        <v>43390</v>
      </c>
      <c r="N50">
        <v>129</v>
      </c>
      <c r="O50" s="60">
        <v>43390</v>
      </c>
      <c r="P50">
        <v>129</v>
      </c>
    </row>
    <row r="51" spans="1:16" x14ac:dyDescent="0.25">
      <c r="A51" s="60">
        <v>43399</v>
      </c>
      <c r="B51" s="61">
        <v>136</v>
      </c>
      <c r="F51" s="60">
        <v>43395</v>
      </c>
      <c r="G51">
        <v>128</v>
      </c>
      <c r="I51" s="60">
        <v>43390</v>
      </c>
      <c r="J51">
        <v>128</v>
      </c>
      <c r="K51" s="60">
        <v>43395</v>
      </c>
      <c r="L51">
        <v>128</v>
      </c>
      <c r="M51" s="60">
        <v>43395</v>
      </c>
      <c r="N51">
        <v>128</v>
      </c>
      <c r="O51" s="60">
        <v>43395</v>
      </c>
      <c r="P51">
        <v>128</v>
      </c>
    </row>
    <row r="52" spans="1:16" x14ac:dyDescent="0.25">
      <c r="A52" s="60">
        <v>43402</v>
      </c>
      <c r="B52" s="61">
        <v>135</v>
      </c>
      <c r="F52" s="60">
        <v>43396</v>
      </c>
      <c r="G52">
        <v>127</v>
      </c>
      <c r="I52" s="60">
        <v>43395</v>
      </c>
      <c r="J52">
        <v>127</v>
      </c>
      <c r="K52" s="60">
        <v>43396</v>
      </c>
      <c r="L52">
        <v>127</v>
      </c>
      <c r="M52" s="60">
        <v>43396</v>
      </c>
      <c r="N52">
        <v>127</v>
      </c>
      <c r="O52" s="60">
        <v>43396</v>
      </c>
      <c r="P52">
        <v>127</v>
      </c>
    </row>
    <row r="53" spans="1:16" x14ac:dyDescent="0.25">
      <c r="A53" s="60">
        <v>43403</v>
      </c>
      <c r="B53" s="61">
        <v>134</v>
      </c>
      <c r="F53" s="60">
        <v>43397</v>
      </c>
      <c r="G53">
        <v>126</v>
      </c>
      <c r="I53" s="60">
        <v>43396</v>
      </c>
      <c r="J53">
        <v>126</v>
      </c>
      <c r="K53" s="60">
        <v>43397</v>
      </c>
      <c r="L53">
        <v>126</v>
      </c>
      <c r="M53" s="60">
        <v>43397</v>
      </c>
      <c r="N53">
        <v>126</v>
      </c>
      <c r="O53" s="60">
        <v>43397</v>
      </c>
      <c r="P53">
        <v>126</v>
      </c>
    </row>
    <row r="54" spans="1:16" x14ac:dyDescent="0.25">
      <c r="A54" s="60">
        <v>43404</v>
      </c>
      <c r="B54" s="61">
        <v>133</v>
      </c>
      <c r="F54" s="60">
        <v>43398</v>
      </c>
      <c r="G54">
        <v>125</v>
      </c>
      <c r="I54" s="60">
        <v>43397</v>
      </c>
      <c r="J54">
        <v>125</v>
      </c>
      <c r="K54" s="60">
        <v>43398</v>
      </c>
      <c r="L54">
        <v>125</v>
      </c>
      <c r="M54" s="60">
        <v>43398</v>
      </c>
      <c r="N54">
        <v>125</v>
      </c>
      <c r="O54" s="60">
        <v>43398</v>
      </c>
      <c r="P54">
        <v>125</v>
      </c>
    </row>
    <row r="55" spans="1:16" x14ac:dyDescent="0.25">
      <c r="A55" s="60">
        <v>43405</v>
      </c>
      <c r="B55" s="61">
        <v>132</v>
      </c>
      <c r="F55" s="60">
        <v>43399</v>
      </c>
      <c r="G55">
        <v>124</v>
      </c>
      <c r="I55" s="60">
        <v>43398</v>
      </c>
      <c r="J55">
        <v>124</v>
      </c>
      <c r="K55" s="60">
        <v>43399</v>
      </c>
      <c r="L55">
        <v>124</v>
      </c>
      <c r="M55" s="60">
        <v>43399</v>
      </c>
      <c r="N55">
        <v>124</v>
      </c>
      <c r="O55" s="60">
        <v>43399</v>
      </c>
      <c r="P55">
        <v>124</v>
      </c>
    </row>
    <row r="56" spans="1:16" x14ac:dyDescent="0.25">
      <c r="A56" s="60">
        <v>43406</v>
      </c>
      <c r="B56" s="61">
        <v>131</v>
      </c>
      <c r="F56" s="60">
        <v>43402</v>
      </c>
      <c r="G56">
        <v>123</v>
      </c>
      <c r="I56" s="60">
        <v>43399</v>
      </c>
      <c r="J56">
        <v>123</v>
      </c>
      <c r="K56" s="60">
        <v>43402</v>
      </c>
      <c r="L56">
        <v>123</v>
      </c>
      <c r="M56" s="60">
        <v>43402</v>
      </c>
      <c r="N56">
        <v>123</v>
      </c>
      <c r="O56" s="60">
        <v>43402</v>
      </c>
      <c r="P56">
        <v>123</v>
      </c>
    </row>
    <row r="57" spans="1:16" x14ac:dyDescent="0.25">
      <c r="A57" s="60">
        <v>43409</v>
      </c>
      <c r="B57" s="61">
        <v>130</v>
      </c>
      <c r="F57" s="60">
        <v>43403</v>
      </c>
      <c r="G57">
        <v>122</v>
      </c>
      <c r="I57" s="60">
        <v>43402</v>
      </c>
      <c r="J57">
        <v>122</v>
      </c>
      <c r="K57" s="60">
        <v>43403</v>
      </c>
      <c r="L57">
        <v>122</v>
      </c>
      <c r="M57" s="60">
        <v>43403</v>
      </c>
      <c r="N57">
        <v>122</v>
      </c>
      <c r="O57" s="60">
        <v>43403</v>
      </c>
      <c r="P57">
        <v>122</v>
      </c>
    </row>
    <row r="58" spans="1:16" x14ac:dyDescent="0.25">
      <c r="A58" s="60">
        <v>43410</v>
      </c>
      <c r="B58" s="61">
        <v>129</v>
      </c>
      <c r="F58" s="60">
        <v>43404</v>
      </c>
      <c r="G58">
        <v>121</v>
      </c>
      <c r="I58" s="60">
        <v>43403</v>
      </c>
      <c r="J58">
        <v>121</v>
      </c>
      <c r="K58" s="60">
        <v>43404</v>
      </c>
      <c r="L58">
        <v>121</v>
      </c>
      <c r="M58" s="60">
        <v>43404</v>
      </c>
      <c r="N58">
        <v>121</v>
      </c>
      <c r="O58" s="60">
        <v>43404</v>
      </c>
      <c r="P58">
        <v>121</v>
      </c>
    </row>
    <row r="59" spans="1:16" x14ac:dyDescent="0.25">
      <c r="A59" s="60">
        <v>43412</v>
      </c>
      <c r="B59" s="61">
        <v>128</v>
      </c>
      <c r="F59" s="60">
        <v>43405</v>
      </c>
      <c r="G59">
        <v>120</v>
      </c>
      <c r="I59" s="60">
        <v>43404</v>
      </c>
      <c r="J59">
        <v>120</v>
      </c>
      <c r="K59" s="60">
        <v>43405</v>
      </c>
      <c r="L59">
        <v>120</v>
      </c>
      <c r="M59" s="60">
        <v>43405</v>
      </c>
      <c r="N59">
        <v>120</v>
      </c>
      <c r="O59" s="60">
        <v>43405</v>
      </c>
      <c r="P59">
        <v>120</v>
      </c>
    </row>
    <row r="60" spans="1:16" x14ac:dyDescent="0.25">
      <c r="A60" s="60">
        <v>43413</v>
      </c>
      <c r="B60" s="61">
        <v>127</v>
      </c>
      <c r="F60" s="60">
        <v>43406</v>
      </c>
      <c r="G60">
        <v>119</v>
      </c>
      <c r="I60" s="60">
        <v>43405</v>
      </c>
      <c r="J60">
        <v>119</v>
      </c>
      <c r="K60" s="60">
        <v>43406</v>
      </c>
      <c r="L60">
        <v>119</v>
      </c>
      <c r="M60" s="60">
        <v>43406</v>
      </c>
      <c r="N60">
        <v>119</v>
      </c>
      <c r="O60" s="60">
        <v>43406</v>
      </c>
      <c r="P60">
        <v>119</v>
      </c>
    </row>
    <row r="61" spans="1:16" x14ac:dyDescent="0.25">
      <c r="A61" s="60">
        <v>43416</v>
      </c>
      <c r="B61" s="61">
        <v>126</v>
      </c>
      <c r="F61" s="60">
        <v>43409</v>
      </c>
      <c r="G61">
        <v>118</v>
      </c>
      <c r="I61" s="60">
        <v>43406</v>
      </c>
      <c r="J61">
        <v>118</v>
      </c>
      <c r="K61" s="60">
        <v>43437</v>
      </c>
      <c r="L61">
        <v>118</v>
      </c>
      <c r="M61" s="60">
        <v>43409</v>
      </c>
      <c r="N61">
        <v>118</v>
      </c>
      <c r="O61" s="60">
        <v>43409</v>
      </c>
      <c r="P61">
        <v>118</v>
      </c>
    </row>
    <row r="62" spans="1:16" x14ac:dyDescent="0.25">
      <c r="A62" s="60">
        <v>43417</v>
      </c>
      <c r="B62" s="61">
        <v>125</v>
      </c>
      <c r="F62" s="60">
        <v>43410</v>
      </c>
      <c r="G62">
        <v>117</v>
      </c>
      <c r="I62" s="60">
        <v>43409</v>
      </c>
      <c r="J62">
        <v>117</v>
      </c>
      <c r="K62" s="60">
        <v>43438</v>
      </c>
      <c r="L62">
        <v>117</v>
      </c>
      <c r="M62" s="60">
        <v>43410</v>
      </c>
      <c r="N62">
        <v>117</v>
      </c>
      <c r="O62" s="60">
        <v>43410</v>
      </c>
      <c r="P62">
        <v>117</v>
      </c>
    </row>
    <row r="63" spans="1:16" x14ac:dyDescent="0.25">
      <c r="A63" s="60">
        <v>43418</v>
      </c>
      <c r="B63" s="61">
        <v>124</v>
      </c>
      <c r="F63" s="60">
        <v>43411</v>
      </c>
      <c r="G63">
        <v>116</v>
      </c>
      <c r="I63" s="60">
        <v>43410</v>
      </c>
      <c r="J63">
        <v>116</v>
      </c>
      <c r="K63" s="60">
        <v>43439</v>
      </c>
      <c r="L63">
        <v>116</v>
      </c>
      <c r="M63" s="60">
        <v>43411</v>
      </c>
      <c r="N63">
        <v>116</v>
      </c>
      <c r="O63" s="60">
        <v>43411</v>
      </c>
      <c r="P63">
        <v>116</v>
      </c>
    </row>
    <row r="64" spans="1:16" x14ac:dyDescent="0.25">
      <c r="A64" s="60">
        <v>43419</v>
      </c>
      <c r="B64" s="61">
        <v>123</v>
      </c>
      <c r="F64" s="60">
        <v>43412</v>
      </c>
      <c r="G64">
        <v>115</v>
      </c>
      <c r="I64" s="60">
        <v>43411</v>
      </c>
      <c r="J64">
        <v>115</v>
      </c>
      <c r="K64" s="60">
        <v>43440</v>
      </c>
      <c r="L64">
        <v>115</v>
      </c>
      <c r="M64" s="60">
        <v>43412</v>
      </c>
      <c r="N64">
        <v>115</v>
      </c>
      <c r="O64" s="60">
        <v>43412</v>
      </c>
      <c r="P64">
        <v>115</v>
      </c>
    </row>
    <row r="65" spans="1:16" x14ac:dyDescent="0.25">
      <c r="A65" s="60">
        <v>43420</v>
      </c>
      <c r="B65" s="61">
        <v>122</v>
      </c>
      <c r="F65" s="60">
        <v>43413</v>
      </c>
      <c r="G65">
        <v>114</v>
      </c>
      <c r="I65" s="60">
        <v>43412</v>
      </c>
      <c r="J65">
        <v>114</v>
      </c>
      <c r="K65" s="60">
        <v>43441</v>
      </c>
      <c r="L65">
        <v>114</v>
      </c>
      <c r="M65" s="60">
        <v>43413</v>
      </c>
      <c r="N65">
        <v>114</v>
      </c>
      <c r="O65" s="60">
        <v>43413</v>
      </c>
      <c r="P65">
        <v>114</v>
      </c>
    </row>
    <row r="66" spans="1:16" x14ac:dyDescent="0.25">
      <c r="A66" s="60">
        <v>43423</v>
      </c>
      <c r="B66" s="61">
        <v>121</v>
      </c>
      <c r="F66" s="60">
        <v>43416</v>
      </c>
      <c r="G66">
        <v>113</v>
      </c>
      <c r="I66" s="60">
        <v>43413</v>
      </c>
      <c r="J66">
        <v>113</v>
      </c>
      <c r="K66" s="60">
        <v>43444</v>
      </c>
      <c r="L66">
        <v>113</v>
      </c>
      <c r="M66" s="60">
        <v>43416</v>
      </c>
      <c r="N66">
        <v>113</v>
      </c>
      <c r="O66" s="60">
        <v>43416</v>
      </c>
      <c r="P66">
        <v>113</v>
      </c>
    </row>
    <row r="67" spans="1:16" x14ac:dyDescent="0.25">
      <c r="A67" s="60">
        <v>43424</v>
      </c>
      <c r="B67" s="61">
        <v>120</v>
      </c>
      <c r="F67" s="60">
        <v>43417</v>
      </c>
      <c r="G67">
        <v>112</v>
      </c>
      <c r="I67" s="60">
        <v>43416</v>
      </c>
      <c r="J67">
        <v>112</v>
      </c>
      <c r="K67" s="60">
        <v>43445</v>
      </c>
      <c r="L67">
        <v>112</v>
      </c>
      <c r="M67" s="60">
        <v>43417</v>
      </c>
      <c r="N67">
        <v>112</v>
      </c>
      <c r="O67" s="60">
        <v>43417</v>
      </c>
      <c r="P67">
        <v>112</v>
      </c>
    </row>
    <row r="68" spans="1:16" x14ac:dyDescent="0.25">
      <c r="A68" s="60">
        <v>43430</v>
      </c>
      <c r="B68" s="61">
        <v>119</v>
      </c>
      <c r="F68" s="60">
        <v>43418</v>
      </c>
      <c r="G68">
        <v>111</v>
      </c>
      <c r="I68" s="60">
        <v>43417</v>
      </c>
      <c r="J68">
        <v>111</v>
      </c>
      <c r="K68" s="60">
        <v>43446</v>
      </c>
      <c r="L68">
        <v>111</v>
      </c>
      <c r="M68" s="60">
        <v>43418</v>
      </c>
      <c r="N68">
        <v>111</v>
      </c>
      <c r="O68" s="60">
        <v>43418</v>
      </c>
      <c r="P68">
        <v>111</v>
      </c>
    </row>
    <row r="69" spans="1:16" x14ac:dyDescent="0.25">
      <c r="A69" s="60">
        <v>43431</v>
      </c>
      <c r="B69" s="61">
        <v>118</v>
      </c>
      <c r="F69" s="60">
        <v>43419</v>
      </c>
      <c r="G69">
        <v>110</v>
      </c>
      <c r="I69" s="60">
        <v>43418</v>
      </c>
      <c r="J69">
        <v>110</v>
      </c>
      <c r="K69" s="60">
        <v>43447</v>
      </c>
      <c r="L69">
        <v>110</v>
      </c>
      <c r="M69" s="60">
        <v>43419</v>
      </c>
      <c r="N69">
        <v>110</v>
      </c>
      <c r="O69" s="60">
        <v>43419</v>
      </c>
      <c r="P69">
        <v>110</v>
      </c>
    </row>
    <row r="70" spans="1:16" x14ac:dyDescent="0.25">
      <c r="A70" s="60">
        <v>43432</v>
      </c>
      <c r="B70" s="61">
        <v>117</v>
      </c>
      <c r="F70" s="60">
        <v>43420</v>
      </c>
      <c r="G70">
        <v>109</v>
      </c>
      <c r="I70" s="60">
        <v>43419</v>
      </c>
      <c r="J70">
        <v>109</v>
      </c>
      <c r="K70" s="60">
        <v>43448</v>
      </c>
      <c r="L70">
        <v>109</v>
      </c>
      <c r="M70" s="60">
        <v>43420</v>
      </c>
      <c r="N70">
        <v>109</v>
      </c>
      <c r="O70" s="60">
        <v>43420</v>
      </c>
      <c r="P70">
        <v>109</v>
      </c>
    </row>
    <row r="71" spans="1:16" x14ac:dyDescent="0.25">
      <c r="A71" s="60">
        <v>43433</v>
      </c>
      <c r="B71" s="61">
        <v>116</v>
      </c>
      <c r="F71" s="60">
        <v>43423</v>
      </c>
      <c r="G71">
        <v>108</v>
      </c>
      <c r="I71" s="60">
        <v>43420</v>
      </c>
      <c r="J71">
        <v>108</v>
      </c>
      <c r="K71" s="60">
        <v>43451</v>
      </c>
      <c r="L71">
        <v>108</v>
      </c>
      <c r="M71" s="60">
        <v>43423</v>
      </c>
      <c r="N71">
        <v>108</v>
      </c>
      <c r="O71" s="60">
        <v>43423</v>
      </c>
      <c r="P71">
        <v>108</v>
      </c>
    </row>
    <row r="72" spans="1:16" x14ac:dyDescent="0.25">
      <c r="A72" s="60">
        <v>43434</v>
      </c>
      <c r="B72" s="61">
        <v>115</v>
      </c>
      <c r="F72" s="60">
        <v>43424</v>
      </c>
      <c r="G72">
        <v>107</v>
      </c>
      <c r="I72" s="60">
        <v>43423</v>
      </c>
      <c r="J72">
        <v>107</v>
      </c>
      <c r="K72" s="60">
        <v>43452</v>
      </c>
      <c r="L72">
        <v>107</v>
      </c>
      <c r="M72" s="60">
        <v>43424</v>
      </c>
      <c r="N72">
        <v>107</v>
      </c>
      <c r="O72" s="60">
        <v>43424</v>
      </c>
      <c r="P72">
        <v>107</v>
      </c>
    </row>
    <row r="73" spans="1:16" x14ac:dyDescent="0.25">
      <c r="A73" s="60">
        <v>43437</v>
      </c>
      <c r="B73" s="61">
        <v>114</v>
      </c>
      <c r="F73" s="60">
        <v>43425</v>
      </c>
      <c r="G73">
        <v>106</v>
      </c>
      <c r="I73" s="60">
        <v>43424</v>
      </c>
      <c r="J73">
        <v>106</v>
      </c>
      <c r="K73" s="60">
        <v>43453</v>
      </c>
      <c r="L73">
        <v>106</v>
      </c>
      <c r="M73" s="60">
        <v>43425</v>
      </c>
      <c r="N73">
        <v>106</v>
      </c>
      <c r="O73" s="60">
        <v>43425</v>
      </c>
      <c r="P73">
        <v>106</v>
      </c>
    </row>
    <row r="74" spans="1:16" x14ac:dyDescent="0.25">
      <c r="A74" s="60">
        <v>43438</v>
      </c>
      <c r="B74" s="61">
        <v>113</v>
      </c>
      <c r="F74" s="60">
        <v>43430</v>
      </c>
      <c r="G74">
        <v>105</v>
      </c>
      <c r="I74" s="60">
        <v>43425</v>
      </c>
      <c r="J74">
        <v>105</v>
      </c>
      <c r="K74" s="60">
        <v>43454</v>
      </c>
      <c r="L74">
        <v>105</v>
      </c>
      <c r="M74" s="60">
        <v>43430</v>
      </c>
      <c r="N74">
        <v>105</v>
      </c>
      <c r="O74" s="60">
        <v>43430</v>
      </c>
      <c r="P74">
        <v>105</v>
      </c>
    </row>
    <row r="75" spans="1:16" x14ac:dyDescent="0.25">
      <c r="A75" s="60">
        <v>43439</v>
      </c>
      <c r="B75" s="61">
        <v>112</v>
      </c>
      <c r="F75" s="60">
        <v>43431</v>
      </c>
      <c r="G75">
        <v>104</v>
      </c>
      <c r="I75" s="60">
        <v>43430</v>
      </c>
      <c r="J75">
        <v>104</v>
      </c>
      <c r="K75" s="60">
        <v>43455</v>
      </c>
      <c r="L75">
        <v>104</v>
      </c>
      <c r="M75" s="60">
        <v>43431</v>
      </c>
      <c r="N75">
        <v>104</v>
      </c>
      <c r="O75" s="60">
        <v>43431</v>
      </c>
      <c r="P75">
        <v>104</v>
      </c>
    </row>
    <row r="76" spans="1:16" x14ac:dyDescent="0.25">
      <c r="A76" s="60">
        <v>43440</v>
      </c>
      <c r="B76" s="61">
        <v>111</v>
      </c>
      <c r="F76" s="60">
        <v>43432</v>
      </c>
      <c r="G76">
        <v>103</v>
      </c>
      <c r="I76" s="60">
        <v>43431</v>
      </c>
      <c r="J76">
        <v>103</v>
      </c>
      <c r="K76" s="60">
        <v>43467</v>
      </c>
      <c r="L76">
        <v>103</v>
      </c>
      <c r="M76" s="60">
        <v>43432</v>
      </c>
      <c r="N76">
        <v>103</v>
      </c>
      <c r="O76" s="60">
        <v>43432</v>
      </c>
      <c r="P76">
        <v>103</v>
      </c>
    </row>
    <row r="77" spans="1:16" x14ac:dyDescent="0.25">
      <c r="A77" s="60">
        <v>43441</v>
      </c>
      <c r="B77" s="61">
        <v>110</v>
      </c>
      <c r="F77" s="60">
        <v>43433</v>
      </c>
      <c r="G77">
        <v>102</v>
      </c>
      <c r="I77" s="60">
        <v>43432</v>
      </c>
      <c r="J77">
        <v>102</v>
      </c>
      <c r="K77" s="60">
        <v>43468</v>
      </c>
      <c r="L77">
        <v>102</v>
      </c>
      <c r="M77" s="60">
        <v>43433</v>
      </c>
      <c r="N77">
        <v>102</v>
      </c>
      <c r="O77" s="60">
        <v>43433</v>
      </c>
      <c r="P77">
        <v>102</v>
      </c>
    </row>
    <row r="78" spans="1:16" x14ac:dyDescent="0.25">
      <c r="A78" s="60">
        <v>43444</v>
      </c>
      <c r="B78" s="61">
        <v>109</v>
      </c>
      <c r="F78" s="60">
        <v>43434</v>
      </c>
      <c r="G78">
        <v>101</v>
      </c>
      <c r="I78" s="60">
        <v>43433</v>
      </c>
      <c r="J78">
        <v>101</v>
      </c>
      <c r="K78" s="60">
        <v>43469</v>
      </c>
      <c r="L78">
        <v>101</v>
      </c>
      <c r="M78" s="60">
        <v>43434</v>
      </c>
      <c r="N78">
        <v>101</v>
      </c>
      <c r="O78" s="60">
        <v>43434</v>
      </c>
      <c r="P78">
        <v>101</v>
      </c>
    </row>
    <row r="79" spans="1:16" x14ac:dyDescent="0.25">
      <c r="A79" s="60">
        <v>43445</v>
      </c>
      <c r="B79" s="61">
        <v>108</v>
      </c>
      <c r="F79" s="60">
        <v>43437</v>
      </c>
      <c r="G79">
        <v>100</v>
      </c>
      <c r="I79" s="60">
        <v>43434</v>
      </c>
      <c r="J79">
        <v>100</v>
      </c>
      <c r="K79" s="60">
        <v>43472</v>
      </c>
      <c r="L79">
        <v>100</v>
      </c>
      <c r="M79" s="60">
        <v>43437</v>
      </c>
      <c r="N79">
        <v>100</v>
      </c>
      <c r="O79" s="60">
        <v>43437</v>
      </c>
      <c r="P79">
        <v>100</v>
      </c>
    </row>
    <row r="80" spans="1:16" x14ac:dyDescent="0.25">
      <c r="A80" s="60">
        <v>43446</v>
      </c>
      <c r="B80" s="61">
        <v>107</v>
      </c>
      <c r="F80" s="60">
        <v>43438</v>
      </c>
      <c r="G80">
        <v>99</v>
      </c>
      <c r="I80" s="60">
        <v>43467</v>
      </c>
      <c r="J80">
        <v>99</v>
      </c>
      <c r="K80" s="60">
        <v>43473</v>
      </c>
      <c r="L80">
        <v>99</v>
      </c>
      <c r="M80" s="60">
        <v>43438</v>
      </c>
      <c r="N80">
        <v>99</v>
      </c>
      <c r="O80" s="60">
        <v>43438</v>
      </c>
      <c r="P80">
        <v>99</v>
      </c>
    </row>
    <row r="81" spans="1:16" x14ac:dyDescent="0.25">
      <c r="A81" s="60">
        <v>43447</v>
      </c>
      <c r="B81" s="61">
        <v>106</v>
      </c>
      <c r="F81" s="60">
        <v>43439</v>
      </c>
      <c r="G81">
        <v>98</v>
      </c>
      <c r="I81" s="60">
        <v>43468</v>
      </c>
      <c r="J81">
        <v>98</v>
      </c>
      <c r="K81" s="60">
        <v>43474</v>
      </c>
      <c r="L81">
        <v>98</v>
      </c>
      <c r="M81" s="60">
        <v>43439</v>
      </c>
      <c r="N81">
        <v>98</v>
      </c>
      <c r="O81" s="60">
        <v>43439</v>
      </c>
      <c r="P81">
        <v>98</v>
      </c>
    </row>
    <row r="82" spans="1:16" x14ac:dyDescent="0.25">
      <c r="A82" s="60">
        <v>43448</v>
      </c>
      <c r="B82" s="61">
        <v>105</v>
      </c>
      <c r="F82" s="60">
        <v>43440</v>
      </c>
      <c r="G82">
        <v>97</v>
      </c>
      <c r="I82" s="60">
        <v>43469</v>
      </c>
      <c r="J82">
        <v>97</v>
      </c>
      <c r="K82" s="60">
        <v>43475</v>
      </c>
      <c r="L82">
        <v>97</v>
      </c>
      <c r="M82" s="60">
        <v>43440</v>
      </c>
      <c r="N82">
        <v>97</v>
      </c>
      <c r="O82" s="60">
        <v>43440</v>
      </c>
      <c r="P82">
        <v>97</v>
      </c>
    </row>
    <row r="83" spans="1:16" x14ac:dyDescent="0.25">
      <c r="A83" s="60">
        <v>43451</v>
      </c>
      <c r="B83" s="61">
        <v>104</v>
      </c>
      <c r="F83" s="60">
        <v>43441</v>
      </c>
      <c r="G83">
        <v>96</v>
      </c>
      <c r="I83" s="60">
        <v>43472</v>
      </c>
      <c r="J83">
        <v>96</v>
      </c>
      <c r="K83" s="60">
        <v>43476</v>
      </c>
      <c r="L83">
        <v>96</v>
      </c>
      <c r="M83" s="60">
        <v>43441</v>
      </c>
      <c r="N83">
        <v>96</v>
      </c>
      <c r="O83" s="60">
        <v>43441</v>
      </c>
      <c r="P83">
        <v>96</v>
      </c>
    </row>
    <row r="84" spans="1:16" x14ac:dyDescent="0.25">
      <c r="A84" s="60">
        <v>43452</v>
      </c>
      <c r="B84" s="61">
        <v>103</v>
      </c>
      <c r="F84" s="60">
        <v>43444</v>
      </c>
      <c r="G84">
        <v>95</v>
      </c>
      <c r="I84" s="60">
        <v>43473</v>
      </c>
      <c r="J84">
        <v>95</v>
      </c>
      <c r="K84" s="60">
        <v>43479</v>
      </c>
      <c r="L84">
        <v>95</v>
      </c>
      <c r="M84" s="60">
        <v>43444</v>
      </c>
      <c r="N84">
        <v>95</v>
      </c>
      <c r="O84" s="60">
        <v>43444</v>
      </c>
      <c r="P84">
        <v>95</v>
      </c>
    </row>
    <row r="85" spans="1:16" x14ac:dyDescent="0.25">
      <c r="A85" s="60">
        <v>43453</v>
      </c>
      <c r="B85" s="61">
        <v>102</v>
      </c>
      <c r="F85" s="60">
        <v>43445</v>
      </c>
      <c r="G85">
        <v>94</v>
      </c>
      <c r="I85" s="60">
        <v>43474</v>
      </c>
      <c r="J85">
        <v>94</v>
      </c>
      <c r="K85" s="60">
        <v>43480</v>
      </c>
      <c r="L85">
        <v>94</v>
      </c>
      <c r="M85" s="60">
        <v>43445</v>
      </c>
      <c r="N85">
        <v>94</v>
      </c>
      <c r="O85" s="60">
        <v>43445</v>
      </c>
      <c r="P85">
        <v>94</v>
      </c>
    </row>
    <row r="86" spans="1:16" x14ac:dyDescent="0.25">
      <c r="A86" s="60">
        <v>43454</v>
      </c>
      <c r="B86" s="61">
        <v>101</v>
      </c>
      <c r="F86" s="60">
        <v>43446</v>
      </c>
      <c r="G86">
        <v>93</v>
      </c>
      <c r="I86" s="60">
        <v>43475</v>
      </c>
      <c r="J86">
        <v>93</v>
      </c>
      <c r="K86" s="60">
        <v>43481</v>
      </c>
      <c r="L86">
        <v>93</v>
      </c>
      <c r="M86" s="60">
        <v>43446</v>
      </c>
      <c r="N86">
        <v>93</v>
      </c>
      <c r="O86" s="60">
        <v>43446</v>
      </c>
      <c r="P86">
        <v>93</v>
      </c>
    </row>
    <row r="87" spans="1:16" x14ac:dyDescent="0.25">
      <c r="A87" s="60">
        <v>43455</v>
      </c>
      <c r="B87" s="61">
        <v>100</v>
      </c>
      <c r="F87" s="60">
        <v>43447</v>
      </c>
      <c r="G87">
        <v>92</v>
      </c>
      <c r="I87" s="60">
        <v>43476</v>
      </c>
      <c r="J87">
        <v>92</v>
      </c>
      <c r="K87" s="60">
        <v>43482</v>
      </c>
      <c r="L87">
        <v>92</v>
      </c>
      <c r="M87" s="60">
        <v>43447</v>
      </c>
      <c r="N87">
        <v>92</v>
      </c>
      <c r="O87" s="60">
        <v>43447</v>
      </c>
      <c r="P87">
        <v>92</v>
      </c>
    </row>
    <row r="88" spans="1:16" x14ac:dyDescent="0.25">
      <c r="A88" s="60">
        <v>43467</v>
      </c>
      <c r="B88" s="61">
        <v>99</v>
      </c>
      <c r="F88" s="60">
        <v>43448</v>
      </c>
      <c r="G88">
        <v>91</v>
      </c>
      <c r="I88" s="60">
        <v>43479</v>
      </c>
      <c r="J88">
        <v>91</v>
      </c>
      <c r="K88" s="60">
        <v>43483</v>
      </c>
      <c r="L88">
        <v>91</v>
      </c>
      <c r="M88" s="60">
        <v>43448</v>
      </c>
      <c r="N88">
        <v>91</v>
      </c>
      <c r="O88" s="60">
        <v>43448</v>
      </c>
      <c r="P88">
        <v>91</v>
      </c>
    </row>
    <row r="89" spans="1:16" x14ac:dyDescent="0.25">
      <c r="A89" s="60">
        <v>43468</v>
      </c>
      <c r="B89" s="61">
        <v>98</v>
      </c>
      <c r="F89" s="60">
        <v>43451</v>
      </c>
      <c r="G89">
        <v>90</v>
      </c>
      <c r="I89" s="60">
        <v>43480</v>
      </c>
      <c r="J89">
        <v>90</v>
      </c>
      <c r="K89" s="60">
        <v>43487</v>
      </c>
      <c r="L89">
        <v>90</v>
      </c>
      <c r="M89" s="60">
        <v>43451</v>
      </c>
      <c r="N89">
        <v>90</v>
      </c>
      <c r="O89" s="60">
        <v>43451</v>
      </c>
      <c r="P89">
        <v>90</v>
      </c>
    </row>
    <row r="90" spans="1:16" x14ac:dyDescent="0.25">
      <c r="A90" s="60">
        <v>43469</v>
      </c>
      <c r="B90" s="61">
        <v>97</v>
      </c>
      <c r="F90" s="60">
        <v>43452</v>
      </c>
      <c r="G90">
        <v>89</v>
      </c>
      <c r="I90" s="60">
        <v>43481</v>
      </c>
      <c r="J90">
        <v>89</v>
      </c>
      <c r="K90" s="60">
        <v>43488</v>
      </c>
      <c r="L90">
        <v>89</v>
      </c>
      <c r="M90" s="60">
        <v>43452</v>
      </c>
      <c r="N90">
        <v>89</v>
      </c>
      <c r="O90" s="60">
        <v>43452</v>
      </c>
      <c r="P90">
        <v>89</v>
      </c>
    </row>
    <row r="91" spans="1:16" x14ac:dyDescent="0.25">
      <c r="A91" s="60">
        <v>43472</v>
      </c>
      <c r="B91" s="61">
        <v>96</v>
      </c>
      <c r="F91" s="60">
        <v>43453</v>
      </c>
      <c r="G91">
        <v>88</v>
      </c>
      <c r="I91" s="60">
        <v>43482</v>
      </c>
      <c r="J91">
        <v>88</v>
      </c>
      <c r="K91" s="60">
        <v>43489</v>
      </c>
      <c r="L91">
        <v>88</v>
      </c>
      <c r="M91" s="60">
        <v>43453</v>
      </c>
      <c r="N91">
        <v>88</v>
      </c>
      <c r="O91" s="60">
        <v>43453</v>
      </c>
      <c r="P91">
        <v>88</v>
      </c>
    </row>
    <row r="92" spans="1:16" x14ac:dyDescent="0.25">
      <c r="A92" s="60">
        <v>43473</v>
      </c>
      <c r="B92" s="61">
        <v>95</v>
      </c>
      <c r="F92" s="60">
        <v>43454</v>
      </c>
      <c r="G92">
        <v>87</v>
      </c>
      <c r="I92" s="60">
        <v>43483</v>
      </c>
      <c r="J92">
        <v>87</v>
      </c>
      <c r="K92" s="60">
        <v>43490</v>
      </c>
      <c r="L92">
        <v>87</v>
      </c>
      <c r="M92" s="60">
        <v>43454</v>
      </c>
      <c r="N92">
        <v>87</v>
      </c>
      <c r="O92" s="60">
        <v>43454</v>
      </c>
      <c r="P92">
        <v>87</v>
      </c>
    </row>
    <row r="93" spans="1:16" x14ac:dyDescent="0.25">
      <c r="A93" s="60">
        <v>43474</v>
      </c>
      <c r="B93" s="61">
        <v>94</v>
      </c>
      <c r="F93" s="60">
        <v>43455</v>
      </c>
      <c r="G93">
        <v>86</v>
      </c>
      <c r="I93" s="60">
        <v>43487</v>
      </c>
      <c r="J93">
        <v>86</v>
      </c>
      <c r="K93" s="60">
        <v>43493</v>
      </c>
      <c r="L93">
        <v>86</v>
      </c>
      <c r="M93" s="60">
        <v>43455</v>
      </c>
      <c r="N93">
        <v>86</v>
      </c>
      <c r="O93" s="60">
        <v>43455</v>
      </c>
      <c r="P93">
        <v>86</v>
      </c>
    </row>
    <row r="94" spans="1:16" x14ac:dyDescent="0.25">
      <c r="A94" s="60">
        <v>43475</v>
      </c>
      <c r="B94" s="61">
        <v>93</v>
      </c>
      <c r="F94" s="60">
        <v>43479</v>
      </c>
      <c r="G94">
        <v>85</v>
      </c>
      <c r="I94" s="60">
        <v>43488</v>
      </c>
      <c r="J94">
        <v>85</v>
      </c>
      <c r="K94" s="60">
        <v>43494</v>
      </c>
      <c r="L94">
        <v>85</v>
      </c>
      <c r="M94" s="60">
        <v>43479</v>
      </c>
      <c r="N94">
        <v>85</v>
      </c>
      <c r="O94" s="60">
        <v>43479</v>
      </c>
      <c r="P94">
        <v>85</v>
      </c>
    </row>
    <row r="95" spans="1:16" x14ac:dyDescent="0.25">
      <c r="A95" s="60">
        <v>43476</v>
      </c>
      <c r="B95" s="61">
        <v>92</v>
      </c>
      <c r="F95" s="60">
        <v>43480</v>
      </c>
      <c r="G95">
        <v>84</v>
      </c>
      <c r="I95" s="60">
        <v>43489</v>
      </c>
      <c r="J95">
        <v>84</v>
      </c>
      <c r="K95" s="60">
        <v>43495</v>
      </c>
      <c r="L95">
        <v>84</v>
      </c>
      <c r="M95" s="60">
        <v>43480</v>
      </c>
      <c r="N95">
        <v>84</v>
      </c>
      <c r="O95" s="60">
        <v>43480</v>
      </c>
      <c r="P95">
        <v>84</v>
      </c>
    </row>
    <row r="96" spans="1:16" x14ac:dyDescent="0.25">
      <c r="A96" s="60">
        <v>43480</v>
      </c>
      <c r="B96" s="61">
        <v>91</v>
      </c>
      <c r="F96" s="60">
        <v>43481</v>
      </c>
      <c r="G96">
        <v>83</v>
      </c>
      <c r="I96" s="60">
        <v>43490</v>
      </c>
      <c r="J96">
        <v>83</v>
      </c>
      <c r="K96" s="60">
        <v>43496</v>
      </c>
      <c r="L96">
        <v>83</v>
      </c>
      <c r="M96" s="60">
        <v>43481</v>
      </c>
      <c r="N96">
        <v>83</v>
      </c>
      <c r="O96" s="60">
        <v>43481</v>
      </c>
      <c r="P96">
        <v>83</v>
      </c>
    </row>
    <row r="97" spans="1:16" x14ac:dyDescent="0.25">
      <c r="A97" s="60">
        <v>43481</v>
      </c>
      <c r="B97" s="61">
        <v>90</v>
      </c>
      <c r="F97" s="60">
        <v>43482</v>
      </c>
      <c r="G97">
        <v>82</v>
      </c>
      <c r="I97" s="60">
        <v>43493</v>
      </c>
      <c r="J97">
        <v>82</v>
      </c>
      <c r="K97" s="60">
        <v>43497</v>
      </c>
      <c r="L97">
        <v>82</v>
      </c>
      <c r="M97" s="60">
        <v>43482</v>
      </c>
      <c r="N97">
        <v>82</v>
      </c>
      <c r="O97" s="60">
        <v>43482</v>
      </c>
      <c r="P97">
        <v>82</v>
      </c>
    </row>
    <row r="98" spans="1:16" x14ac:dyDescent="0.25">
      <c r="A98" s="60">
        <v>43482</v>
      </c>
      <c r="B98" s="61">
        <v>89</v>
      </c>
      <c r="F98" s="60">
        <v>43483</v>
      </c>
      <c r="G98">
        <v>81</v>
      </c>
      <c r="I98" s="60">
        <v>43494</v>
      </c>
      <c r="J98">
        <v>81</v>
      </c>
      <c r="K98" s="60">
        <v>43507</v>
      </c>
      <c r="L98">
        <v>81</v>
      </c>
      <c r="M98" s="60">
        <v>43483</v>
      </c>
      <c r="N98">
        <v>81</v>
      </c>
      <c r="O98" s="60">
        <v>43483</v>
      </c>
      <c r="P98">
        <v>81</v>
      </c>
    </row>
    <row r="99" spans="1:16" x14ac:dyDescent="0.25">
      <c r="A99" s="60">
        <v>43483</v>
      </c>
      <c r="B99" s="61">
        <v>88</v>
      </c>
      <c r="F99" s="60">
        <v>43487</v>
      </c>
      <c r="G99">
        <v>80</v>
      </c>
      <c r="I99" s="60">
        <v>43495</v>
      </c>
      <c r="J99">
        <v>80</v>
      </c>
      <c r="K99" s="60">
        <v>43508</v>
      </c>
      <c r="L99">
        <v>80</v>
      </c>
      <c r="M99" s="60">
        <v>43487</v>
      </c>
      <c r="N99">
        <v>80</v>
      </c>
      <c r="O99" s="60">
        <v>43487</v>
      </c>
      <c r="P99">
        <v>80</v>
      </c>
    </row>
    <row r="100" spans="1:16" x14ac:dyDescent="0.25">
      <c r="A100" s="60">
        <v>43487</v>
      </c>
      <c r="B100" s="61">
        <v>87</v>
      </c>
      <c r="F100" s="60">
        <v>43488</v>
      </c>
      <c r="G100">
        <v>79</v>
      </c>
      <c r="I100" s="60">
        <v>43496</v>
      </c>
      <c r="J100">
        <v>79</v>
      </c>
      <c r="K100" s="60">
        <v>43509</v>
      </c>
      <c r="L100">
        <v>79</v>
      </c>
      <c r="M100" s="60">
        <v>43488</v>
      </c>
      <c r="N100">
        <v>79</v>
      </c>
      <c r="O100" s="60">
        <v>43488</v>
      </c>
      <c r="P100">
        <v>79</v>
      </c>
    </row>
    <row r="101" spans="1:16" x14ac:dyDescent="0.25">
      <c r="A101" s="60">
        <v>43488</v>
      </c>
      <c r="B101" s="61">
        <v>86</v>
      </c>
      <c r="F101" s="60">
        <v>43489</v>
      </c>
      <c r="G101">
        <v>78</v>
      </c>
      <c r="I101" s="60">
        <v>43497</v>
      </c>
      <c r="J101">
        <v>78</v>
      </c>
      <c r="K101" s="60">
        <v>43510</v>
      </c>
      <c r="L101">
        <v>78</v>
      </c>
      <c r="M101" s="60">
        <v>43489</v>
      </c>
      <c r="N101">
        <v>78</v>
      </c>
      <c r="O101" s="60">
        <v>43489</v>
      </c>
      <c r="P101">
        <v>78</v>
      </c>
    </row>
    <row r="102" spans="1:16" x14ac:dyDescent="0.25">
      <c r="A102" s="60">
        <v>43489</v>
      </c>
      <c r="B102" s="61">
        <v>85</v>
      </c>
      <c r="F102" s="60">
        <v>43490</v>
      </c>
      <c r="G102">
        <v>77</v>
      </c>
      <c r="I102" s="60">
        <v>43500</v>
      </c>
      <c r="J102">
        <v>77</v>
      </c>
      <c r="K102" s="60">
        <v>43511</v>
      </c>
      <c r="L102">
        <v>77</v>
      </c>
      <c r="M102" s="60">
        <v>43490</v>
      </c>
      <c r="N102">
        <v>77</v>
      </c>
      <c r="O102" s="60">
        <v>43490</v>
      </c>
      <c r="P102">
        <v>77</v>
      </c>
    </row>
    <row r="103" spans="1:16" x14ac:dyDescent="0.25">
      <c r="A103" s="60">
        <v>43490</v>
      </c>
      <c r="B103" s="61">
        <v>84</v>
      </c>
      <c r="F103" s="60">
        <v>43493</v>
      </c>
      <c r="G103">
        <v>76</v>
      </c>
      <c r="I103" s="60">
        <v>43501</v>
      </c>
      <c r="J103">
        <v>76</v>
      </c>
      <c r="K103" s="60">
        <v>43515</v>
      </c>
      <c r="L103">
        <v>76</v>
      </c>
      <c r="M103" s="60">
        <v>43493</v>
      </c>
      <c r="N103">
        <v>76</v>
      </c>
      <c r="O103" s="60">
        <v>43493</v>
      </c>
      <c r="P103">
        <v>76</v>
      </c>
    </row>
    <row r="104" spans="1:16" x14ac:dyDescent="0.25">
      <c r="A104" s="60">
        <v>43493</v>
      </c>
      <c r="B104" s="61">
        <v>83</v>
      </c>
      <c r="F104" s="60">
        <v>43494</v>
      </c>
      <c r="G104">
        <v>75</v>
      </c>
      <c r="I104" s="60">
        <v>43502</v>
      </c>
      <c r="J104">
        <v>75</v>
      </c>
      <c r="K104" s="60">
        <v>43516</v>
      </c>
      <c r="L104">
        <v>75</v>
      </c>
      <c r="M104" s="60">
        <v>43494</v>
      </c>
      <c r="N104">
        <v>75</v>
      </c>
      <c r="O104" s="60">
        <v>43494</v>
      </c>
      <c r="P104">
        <v>75</v>
      </c>
    </row>
    <row r="105" spans="1:16" x14ac:dyDescent="0.25">
      <c r="A105" s="60">
        <v>43494</v>
      </c>
      <c r="B105" s="61">
        <v>82</v>
      </c>
      <c r="F105" s="60">
        <v>43495</v>
      </c>
      <c r="G105">
        <v>74</v>
      </c>
      <c r="I105" s="60">
        <v>43503</v>
      </c>
      <c r="J105">
        <v>74</v>
      </c>
      <c r="K105" s="60">
        <v>43517</v>
      </c>
      <c r="L105">
        <v>74</v>
      </c>
      <c r="M105" s="60">
        <v>43495</v>
      </c>
      <c r="N105">
        <v>74</v>
      </c>
      <c r="O105" s="60">
        <v>43495</v>
      </c>
      <c r="P105">
        <v>74</v>
      </c>
    </row>
    <row r="106" spans="1:16" x14ac:dyDescent="0.25">
      <c r="A106" s="60">
        <v>43495</v>
      </c>
      <c r="B106" s="61">
        <v>81</v>
      </c>
      <c r="F106" s="60">
        <v>43496</v>
      </c>
      <c r="G106">
        <v>73</v>
      </c>
      <c r="I106" s="60">
        <v>43504</v>
      </c>
      <c r="J106">
        <v>73</v>
      </c>
      <c r="K106" s="60">
        <v>43518</v>
      </c>
      <c r="L106">
        <v>73</v>
      </c>
      <c r="M106" s="60">
        <v>43496</v>
      </c>
      <c r="N106">
        <v>73</v>
      </c>
      <c r="O106" s="60">
        <v>43496</v>
      </c>
      <c r="P106">
        <v>73</v>
      </c>
    </row>
    <row r="107" spans="1:16" x14ac:dyDescent="0.25">
      <c r="A107" s="60">
        <v>43496</v>
      </c>
      <c r="B107" s="61">
        <v>80</v>
      </c>
      <c r="F107" s="60">
        <v>43497</v>
      </c>
      <c r="G107">
        <v>72</v>
      </c>
      <c r="I107" s="60">
        <v>43507</v>
      </c>
      <c r="J107">
        <v>72</v>
      </c>
      <c r="K107" s="60">
        <v>43521</v>
      </c>
      <c r="L107">
        <v>72</v>
      </c>
      <c r="M107" s="60">
        <v>43497</v>
      </c>
      <c r="N107">
        <v>72</v>
      </c>
      <c r="O107" s="60">
        <v>43497</v>
      </c>
      <c r="P107">
        <v>72</v>
      </c>
    </row>
    <row r="108" spans="1:16" x14ac:dyDescent="0.25">
      <c r="A108" s="60">
        <v>43497</v>
      </c>
      <c r="B108" s="61">
        <v>79</v>
      </c>
      <c r="F108" s="60">
        <v>43500</v>
      </c>
      <c r="G108">
        <v>71</v>
      </c>
      <c r="I108" s="60">
        <v>43508</v>
      </c>
      <c r="J108">
        <v>71</v>
      </c>
      <c r="K108" s="60">
        <v>43522</v>
      </c>
      <c r="L108">
        <v>71</v>
      </c>
      <c r="M108" s="60">
        <v>43500</v>
      </c>
      <c r="N108">
        <v>71</v>
      </c>
      <c r="O108" s="60">
        <v>43500</v>
      </c>
      <c r="P108">
        <v>71</v>
      </c>
    </row>
    <row r="109" spans="1:16" x14ac:dyDescent="0.25">
      <c r="A109" s="60">
        <v>43500</v>
      </c>
      <c r="B109" s="61">
        <v>78</v>
      </c>
      <c r="F109" s="60">
        <v>43501</v>
      </c>
      <c r="G109">
        <v>70</v>
      </c>
      <c r="I109" s="60">
        <v>43509</v>
      </c>
      <c r="J109">
        <v>70</v>
      </c>
      <c r="K109" s="60">
        <v>43523</v>
      </c>
      <c r="L109">
        <v>70</v>
      </c>
      <c r="M109" s="60">
        <v>43501</v>
      </c>
      <c r="N109">
        <v>70</v>
      </c>
      <c r="O109" s="60">
        <v>43501</v>
      </c>
      <c r="P109">
        <v>70</v>
      </c>
    </row>
    <row r="110" spans="1:16" x14ac:dyDescent="0.25">
      <c r="A110" s="60">
        <v>43501</v>
      </c>
      <c r="B110" s="61">
        <v>77</v>
      </c>
      <c r="F110" s="60">
        <v>43502</v>
      </c>
      <c r="G110">
        <v>69</v>
      </c>
      <c r="I110" s="60">
        <v>43510</v>
      </c>
      <c r="J110">
        <v>69</v>
      </c>
      <c r="K110" s="60">
        <v>43524</v>
      </c>
      <c r="L110">
        <v>69</v>
      </c>
      <c r="M110" s="60">
        <v>43502</v>
      </c>
      <c r="N110">
        <v>69</v>
      </c>
      <c r="O110" s="60">
        <v>43502</v>
      </c>
      <c r="P110">
        <v>69</v>
      </c>
    </row>
    <row r="111" spans="1:16" x14ac:dyDescent="0.25">
      <c r="A111" s="60">
        <v>43502</v>
      </c>
      <c r="B111" s="61">
        <v>76</v>
      </c>
      <c r="F111" s="60">
        <v>43503</v>
      </c>
      <c r="G111">
        <v>68</v>
      </c>
      <c r="I111" s="60">
        <v>43511</v>
      </c>
      <c r="J111">
        <v>68</v>
      </c>
      <c r="K111" s="60">
        <v>43525</v>
      </c>
      <c r="L111">
        <v>68</v>
      </c>
      <c r="M111" s="60">
        <v>43503</v>
      </c>
      <c r="N111">
        <v>68</v>
      </c>
      <c r="O111" s="60">
        <v>43503</v>
      </c>
      <c r="P111">
        <v>68</v>
      </c>
    </row>
    <row r="112" spans="1:16" x14ac:dyDescent="0.25">
      <c r="A112" s="60">
        <v>43503</v>
      </c>
      <c r="B112" s="61">
        <v>75</v>
      </c>
      <c r="F112" s="60">
        <v>43504</v>
      </c>
      <c r="G112">
        <v>67</v>
      </c>
      <c r="I112" s="60">
        <v>43515</v>
      </c>
      <c r="J112">
        <v>67</v>
      </c>
      <c r="K112" s="60">
        <v>43528</v>
      </c>
      <c r="L112">
        <v>67</v>
      </c>
      <c r="M112" s="60">
        <v>43504</v>
      </c>
      <c r="N112">
        <v>67</v>
      </c>
      <c r="O112" s="60">
        <v>43504</v>
      </c>
      <c r="P112">
        <v>67</v>
      </c>
    </row>
    <row r="113" spans="1:16" x14ac:dyDescent="0.25">
      <c r="A113" s="60">
        <v>43504</v>
      </c>
      <c r="B113" s="61">
        <v>74</v>
      </c>
      <c r="F113" s="60">
        <v>43507</v>
      </c>
      <c r="G113">
        <v>66</v>
      </c>
      <c r="I113" s="60">
        <v>43516</v>
      </c>
      <c r="J113">
        <v>66</v>
      </c>
      <c r="K113" s="60">
        <v>43529</v>
      </c>
      <c r="L113">
        <v>66</v>
      </c>
      <c r="M113" s="60">
        <v>43507</v>
      </c>
      <c r="N113">
        <v>66</v>
      </c>
      <c r="O113" s="60">
        <v>43507</v>
      </c>
      <c r="P113">
        <v>66</v>
      </c>
    </row>
    <row r="114" spans="1:16" x14ac:dyDescent="0.25">
      <c r="A114" s="60">
        <v>43507</v>
      </c>
      <c r="B114" s="61">
        <v>73</v>
      </c>
      <c r="F114" s="60">
        <v>43508</v>
      </c>
      <c r="G114">
        <v>65</v>
      </c>
      <c r="I114" s="60">
        <v>43517</v>
      </c>
      <c r="J114">
        <v>65</v>
      </c>
      <c r="K114" s="60">
        <v>43530</v>
      </c>
      <c r="L114">
        <v>65</v>
      </c>
      <c r="M114" s="60">
        <v>43508</v>
      </c>
      <c r="N114">
        <v>65</v>
      </c>
      <c r="O114" s="60">
        <v>43508</v>
      </c>
      <c r="P114">
        <v>65</v>
      </c>
    </row>
    <row r="115" spans="1:16" x14ac:dyDescent="0.25">
      <c r="A115" s="60">
        <v>43508</v>
      </c>
      <c r="B115" s="61">
        <v>72</v>
      </c>
      <c r="F115" s="60">
        <v>43509</v>
      </c>
      <c r="G115">
        <v>64</v>
      </c>
      <c r="I115" s="60">
        <v>43518</v>
      </c>
      <c r="J115">
        <v>64</v>
      </c>
      <c r="K115" s="60">
        <v>43531</v>
      </c>
      <c r="L115">
        <v>64</v>
      </c>
      <c r="M115" s="60">
        <v>43509</v>
      </c>
      <c r="N115">
        <v>64</v>
      </c>
      <c r="O115" s="60">
        <v>43509</v>
      </c>
      <c r="P115">
        <v>64</v>
      </c>
    </row>
    <row r="116" spans="1:16" x14ac:dyDescent="0.25">
      <c r="A116" s="60">
        <v>43509</v>
      </c>
      <c r="B116" s="61">
        <v>71</v>
      </c>
      <c r="F116" s="60">
        <v>43510</v>
      </c>
      <c r="G116">
        <v>63</v>
      </c>
      <c r="I116" s="60">
        <v>43542</v>
      </c>
      <c r="J116">
        <v>63</v>
      </c>
      <c r="K116" s="60">
        <v>43532</v>
      </c>
      <c r="L116">
        <v>63</v>
      </c>
      <c r="M116" s="60">
        <v>43510</v>
      </c>
      <c r="N116">
        <v>63</v>
      </c>
      <c r="O116" s="60">
        <v>43510</v>
      </c>
      <c r="P116">
        <v>63</v>
      </c>
    </row>
    <row r="117" spans="1:16" x14ac:dyDescent="0.25">
      <c r="A117" s="60">
        <v>43510</v>
      </c>
      <c r="B117" s="61">
        <v>70</v>
      </c>
      <c r="F117" s="60">
        <v>43511</v>
      </c>
      <c r="G117">
        <v>62</v>
      </c>
      <c r="I117" s="60">
        <v>43543</v>
      </c>
      <c r="J117">
        <v>62</v>
      </c>
      <c r="K117" s="60">
        <v>43535</v>
      </c>
      <c r="L117">
        <v>62</v>
      </c>
      <c r="M117" s="60">
        <v>43511</v>
      </c>
      <c r="N117">
        <v>62</v>
      </c>
      <c r="O117" s="60">
        <v>43511</v>
      </c>
      <c r="P117">
        <v>62</v>
      </c>
    </row>
    <row r="118" spans="1:16" x14ac:dyDescent="0.25">
      <c r="A118" s="60">
        <v>43511</v>
      </c>
      <c r="B118" s="61">
        <v>69</v>
      </c>
      <c r="F118" s="60">
        <v>43515</v>
      </c>
      <c r="G118">
        <v>61</v>
      </c>
      <c r="I118" s="60">
        <v>43544</v>
      </c>
      <c r="J118">
        <v>61</v>
      </c>
      <c r="K118" s="60">
        <v>43536</v>
      </c>
      <c r="L118">
        <v>61</v>
      </c>
      <c r="M118" s="60">
        <v>43515</v>
      </c>
      <c r="N118">
        <v>61</v>
      </c>
      <c r="O118" s="60">
        <v>43515</v>
      </c>
      <c r="P118">
        <v>61</v>
      </c>
    </row>
    <row r="119" spans="1:16" x14ac:dyDescent="0.25">
      <c r="A119" s="60">
        <v>43515</v>
      </c>
      <c r="B119" s="61">
        <v>68</v>
      </c>
      <c r="F119" s="60">
        <v>43516</v>
      </c>
      <c r="G119">
        <v>60</v>
      </c>
      <c r="I119" s="60">
        <v>43545</v>
      </c>
      <c r="J119">
        <v>60</v>
      </c>
      <c r="K119" s="60">
        <v>43537</v>
      </c>
      <c r="L119">
        <v>60</v>
      </c>
      <c r="M119" s="60">
        <v>43516</v>
      </c>
      <c r="N119">
        <v>60</v>
      </c>
      <c r="O119" s="60">
        <v>43516</v>
      </c>
      <c r="P119">
        <v>60</v>
      </c>
    </row>
    <row r="120" spans="1:16" x14ac:dyDescent="0.25">
      <c r="A120" s="60">
        <v>43516</v>
      </c>
      <c r="B120" s="61">
        <v>67</v>
      </c>
      <c r="F120" s="60">
        <v>43517</v>
      </c>
      <c r="G120">
        <v>59</v>
      </c>
      <c r="I120" s="60">
        <v>43546</v>
      </c>
      <c r="J120">
        <v>59</v>
      </c>
      <c r="K120" s="60">
        <v>43538</v>
      </c>
      <c r="L120">
        <v>59</v>
      </c>
      <c r="M120" s="60">
        <v>43517</v>
      </c>
      <c r="N120">
        <v>59</v>
      </c>
      <c r="O120" s="60">
        <v>43517</v>
      </c>
      <c r="P120">
        <v>59</v>
      </c>
    </row>
    <row r="121" spans="1:16" x14ac:dyDescent="0.25">
      <c r="A121" s="60">
        <v>43517</v>
      </c>
      <c r="B121" s="61">
        <v>66</v>
      </c>
      <c r="F121" s="60">
        <v>43518</v>
      </c>
      <c r="G121">
        <v>58</v>
      </c>
      <c r="I121" s="60">
        <v>43549</v>
      </c>
      <c r="J121">
        <v>58</v>
      </c>
      <c r="K121" s="60">
        <v>43539</v>
      </c>
      <c r="L121">
        <v>58</v>
      </c>
      <c r="M121" s="60">
        <v>43518</v>
      </c>
      <c r="N121">
        <v>58</v>
      </c>
      <c r="O121" s="60">
        <v>43518</v>
      </c>
      <c r="P121">
        <v>58</v>
      </c>
    </row>
    <row r="122" spans="1:16" x14ac:dyDescent="0.25">
      <c r="A122" s="60">
        <v>43518</v>
      </c>
      <c r="B122" s="61">
        <v>65</v>
      </c>
      <c r="F122" s="60">
        <v>43521</v>
      </c>
      <c r="G122">
        <v>57</v>
      </c>
      <c r="I122" s="60">
        <v>43550</v>
      </c>
      <c r="J122">
        <v>57</v>
      </c>
      <c r="K122" s="60">
        <v>43563</v>
      </c>
      <c r="L122">
        <v>57</v>
      </c>
      <c r="M122" s="60">
        <v>43521</v>
      </c>
      <c r="N122">
        <v>57</v>
      </c>
      <c r="O122" s="60">
        <v>43521</v>
      </c>
      <c r="P122">
        <v>57</v>
      </c>
    </row>
    <row r="123" spans="1:16" x14ac:dyDescent="0.25">
      <c r="A123" s="60">
        <v>43521</v>
      </c>
      <c r="B123" s="61">
        <v>64</v>
      </c>
      <c r="F123" s="60">
        <v>43522</v>
      </c>
      <c r="G123">
        <v>56</v>
      </c>
      <c r="I123" s="60">
        <v>43551</v>
      </c>
      <c r="J123">
        <v>56</v>
      </c>
      <c r="K123" s="60">
        <v>43564</v>
      </c>
      <c r="L123">
        <v>56</v>
      </c>
      <c r="M123" s="60">
        <v>43522</v>
      </c>
      <c r="N123">
        <v>56</v>
      </c>
      <c r="O123" s="60">
        <v>43522</v>
      </c>
      <c r="P123">
        <v>56</v>
      </c>
    </row>
    <row r="124" spans="1:16" x14ac:dyDescent="0.25">
      <c r="A124" s="60">
        <v>43522</v>
      </c>
      <c r="B124" s="61">
        <v>63</v>
      </c>
      <c r="F124" s="60">
        <v>43523</v>
      </c>
      <c r="G124">
        <v>55</v>
      </c>
      <c r="I124" s="60">
        <v>43552</v>
      </c>
      <c r="J124">
        <v>55</v>
      </c>
      <c r="K124" s="60">
        <v>43565</v>
      </c>
      <c r="L124">
        <v>55</v>
      </c>
      <c r="M124" s="60">
        <v>43523</v>
      </c>
      <c r="N124">
        <v>55</v>
      </c>
      <c r="O124" s="60">
        <v>43523</v>
      </c>
      <c r="P124">
        <v>55</v>
      </c>
    </row>
    <row r="125" spans="1:16" x14ac:dyDescent="0.25">
      <c r="A125" s="60">
        <v>43523</v>
      </c>
      <c r="B125" s="61">
        <v>62</v>
      </c>
      <c r="F125" s="60">
        <v>43524</v>
      </c>
      <c r="G125">
        <v>54</v>
      </c>
      <c r="I125" s="60">
        <v>43553</v>
      </c>
      <c r="J125">
        <v>54</v>
      </c>
      <c r="K125" s="60">
        <v>43566</v>
      </c>
      <c r="L125">
        <v>54</v>
      </c>
      <c r="M125" s="60">
        <v>43524</v>
      </c>
      <c r="N125">
        <v>54</v>
      </c>
      <c r="O125" s="60">
        <v>43524</v>
      </c>
      <c r="P125">
        <v>54</v>
      </c>
    </row>
    <row r="126" spans="1:16" x14ac:dyDescent="0.25">
      <c r="A126" s="60">
        <v>43524</v>
      </c>
      <c r="B126" s="61">
        <v>61</v>
      </c>
      <c r="F126" s="60">
        <v>43525</v>
      </c>
      <c r="G126">
        <v>53</v>
      </c>
      <c r="I126" s="60">
        <v>43556</v>
      </c>
      <c r="J126">
        <v>53</v>
      </c>
      <c r="K126" s="60">
        <v>43567</v>
      </c>
      <c r="L126">
        <v>53</v>
      </c>
      <c r="M126" s="60">
        <v>43525</v>
      </c>
      <c r="N126">
        <v>53</v>
      </c>
      <c r="O126" s="60">
        <v>43525</v>
      </c>
      <c r="P126">
        <v>53</v>
      </c>
    </row>
    <row r="127" spans="1:16" x14ac:dyDescent="0.25">
      <c r="A127" s="60">
        <v>43525</v>
      </c>
      <c r="B127" s="61">
        <v>60</v>
      </c>
      <c r="F127" s="60">
        <v>43528</v>
      </c>
      <c r="G127">
        <v>52</v>
      </c>
      <c r="I127" s="60">
        <v>43557</v>
      </c>
      <c r="J127">
        <v>52</v>
      </c>
      <c r="K127" s="60">
        <v>43570</v>
      </c>
      <c r="L127">
        <v>52</v>
      </c>
      <c r="M127" s="60">
        <v>43528</v>
      </c>
      <c r="N127">
        <v>52</v>
      </c>
      <c r="O127" s="60">
        <v>43528</v>
      </c>
      <c r="P127">
        <v>52</v>
      </c>
    </row>
    <row r="128" spans="1:16" x14ac:dyDescent="0.25">
      <c r="A128" s="60">
        <v>43528</v>
      </c>
      <c r="B128" s="61">
        <v>59</v>
      </c>
      <c r="F128" s="60">
        <v>43529</v>
      </c>
      <c r="G128">
        <v>51</v>
      </c>
      <c r="I128" s="60">
        <v>43558</v>
      </c>
      <c r="J128">
        <v>51</v>
      </c>
      <c r="K128" s="60">
        <v>43571</v>
      </c>
      <c r="L128">
        <v>51</v>
      </c>
      <c r="M128" s="60">
        <v>43529</v>
      </c>
      <c r="N128">
        <v>51</v>
      </c>
      <c r="O128" s="60">
        <v>43529</v>
      </c>
      <c r="P128">
        <v>51</v>
      </c>
    </row>
    <row r="129" spans="1:16" x14ac:dyDescent="0.25">
      <c r="A129" s="60">
        <v>43529</v>
      </c>
      <c r="B129" s="61">
        <v>58</v>
      </c>
      <c r="F129" s="60">
        <v>43530</v>
      </c>
      <c r="G129">
        <v>50</v>
      </c>
      <c r="I129" s="60">
        <v>43559</v>
      </c>
      <c r="J129">
        <v>50</v>
      </c>
      <c r="K129" s="60">
        <v>43577</v>
      </c>
      <c r="L129">
        <v>50</v>
      </c>
      <c r="M129" s="60">
        <v>43530</v>
      </c>
      <c r="N129">
        <v>50</v>
      </c>
      <c r="O129" s="60">
        <v>43530</v>
      </c>
      <c r="P129">
        <v>50</v>
      </c>
    </row>
    <row r="130" spans="1:16" x14ac:dyDescent="0.25">
      <c r="A130" s="60">
        <v>43530</v>
      </c>
      <c r="B130" s="61">
        <v>57</v>
      </c>
      <c r="F130" s="60">
        <v>43531</v>
      </c>
      <c r="G130">
        <v>49</v>
      </c>
      <c r="I130" s="60">
        <v>43560</v>
      </c>
      <c r="J130">
        <v>49</v>
      </c>
      <c r="K130" s="60">
        <v>43578</v>
      </c>
      <c r="L130">
        <v>49</v>
      </c>
      <c r="M130" s="60">
        <v>43531</v>
      </c>
      <c r="N130">
        <v>49</v>
      </c>
      <c r="O130" s="60">
        <v>43531</v>
      </c>
      <c r="P130">
        <v>49</v>
      </c>
    </row>
    <row r="131" spans="1:16" x14ac:dyDescent="0.25">
      <c r="A131" s="60">
        <v>43531</v>
      </c>
      <c r="B131" s="61">
        <v>56</v>
      </c>
      <c r="F131" s="60">
        <v>43532</v>
      </c>
      <c r="G131">
        <v>48</v>
      </c>
      <c r="I131" s="60">
        <v>43563</v>
      </c>
      <c r="J131">
        <v>48</v>
      </c>
      <c r="K131" s="60">
        <v>43579</v>
      </c>
      <c r="L131">
        <v>48</v>
      </c>
      <c r="M131" s="60">
        <v>43532</v>
      </c>
      <c r="N131">
        <v>48</v>
      </c>
      <c r="O131" s="60">
        <v>43532</v>
      </c>
      <c r="P131">
        <v>48</v>
      </c>
    </row>
    <row r="132" spans="1:16" x14ac:dyDescent="0.25">
      <c r="A132" s="60">
        <v>43532</v>
      </c>
      <c r="B132" s="61">
        <v>55</v>
      </c>
      <c r="F132" s="60">
        <v>43535</v>
      </c>
      <c r="G132">
        <v>47</v>
      </c>
      <c r="I132" s="60">
        <v>43564</v>
      </c>
      <c r="J132">
        <v>47</v>
      </c>
      <c r="K132" s="60">
        <v>43580</v>
      </c>
      <c r="L132">
        <v>47</v>
      </c>
      <c r="M132" s="60">
        <v>43535</v>
      </c>
      <c r="N132">
        <v>47</v>
      </c>
      <c r="O132" s="60">
        <v>43535</v>
      </c>
      <c r="P132">
        <v>47</v>
      </c>
    </row>
    <row r="133" spans="1:16" x14ac:dyDescent="0.25">
      <c r="A133" s="60">
        <v>43535</v>
      </c>
      <c r="B133" s="61">
        <v>54</v>
      </c>
      <c r="F133" s="60">
        <v>43536</v>
      </c>
      <c r="G133">
        <v>46</v>
      </c>
      <c r="I133" s="60">
        <v>43565</v>
      </c>
      <c r="J133">
        <v>46</v>
      </c>
      <c r="K133" s="60">
        <v>43581</v>
      </c>
      <c r="L133">
        <v>46</v>
      </c>
      <c r="M133" s="60">
        <v>43536</v>
      </c>
      <c r="N133">
        <v>46</v>
      </c>
      <c r="O133" s="60">
        <v>43536</v>
      </c>
      <c r="P133">
        <v>46</v>
      </c>
    </row>
    <row r="134" spans="1:16" x14ac:dyDescent="0.25">
      <c r="A134" s="60">
        <v>43536</v>
      </c>
      <c r="B134" s="61">
        <v>53</v>
      </c>
      <c r="F134" s="60">
        <v>43537</v>
      </c>
      <c r="G134">
        <v>45</v>
      </c>
      <c r="I134" s="60">
        <v>43566</v>
      </c>
      <c r="J134">
        <v>45</v>
      </c>
      <c r="K134" s="60">
        <v>43584</v>
      </c>
      <c r="L134">
        <v>45</v>
      </c>
      <c r="M134" s="60">
        <v>43537</v>
      </c>
      <c r="N134">
        <v>45</v>
      </c>
      <c r="O134" s="60">
        <v>43537</v>
      </c>
      <c r="P134">
        <v>45</v>
      </c>
    </row>
    <row r="135" spans="1:16" x14ac:dyDescent="0.25">
      <c r="A135" s="60">
        <v>43537</v>
      </c>
      <c r="B135" s="61">
        <v>52</v>
      </c>
      <c r="F135" s="60">
        <v>43538</v>
      </c>
      <c r="G135">
        <v>44</v>
      </c>
      <c r="I135" s="60">
        <v>43567</v>
      </c>
      <c r="J135">
        <v>44</v>
      </c>
      <c r="K135" s="60">
        <v>43585</v>
      </c>
      <c r="L135">
        <v>44</v>
      </c>
      <c r="M135" s="60">
        <v>43538</v>
      </c>
      <c r="N135">
        <v>44</v>
      </c>
      <c r="O135" s="60">
        <v>43538</v>
      </c>
      <c r="P135">
        <v>44</v>
      </c>
    </row>
    <row r="136" spans="1:16" x14ac:dyDescent="0.25">
      <c r="A136" s="60">
        <v>43538</v>
      </c>
      <c r="B136" s="61">
        <v>51</v>
      </c>
      <c r="F136" s="60">
        <v>43539</v>
      </c>
      <c r="G136">
        <v>43</v>
      </c>
      <c r="I136" s="60">
        <v>43570</v>
      </c>
      <c r="J136">
        <v>43</v>
      </c>
      <c r="K136" s="60">
        <v>43586</v>
      </c>
      <c r="L136">
        <v>43</v>
      </c>
      <c r="M136" s="60">
        <v>43539</v>
      </c>
      <c r="N136">
        <v>43</v>
      </c>
      <c r="O136" s="60">
        <v>43539</v>
      </c>
      <c r="P136">
        <v>43</v>
      </c>
    </row>
    <row r="137" spans="1:16" x14ac:dyDescent="0.25">
      <c r="A137" s="60">
        <v>43539</v>
      </c>
      <c r="B137" s="61">
        <v>50</v>
      </c>
      <c r="F137" s="60">
        <v>43563</v>
      </c>
      <c r="G137">
        <v>42</v>
      </c>
      <c r="I137" s="60">
        <v>43571</v>
      </c>
      <c r="J137">
        <v>42</v>
      </c>
      <c r="K137" s="60">
        <v>43587</v>
      </c>
      <c r="L137">
        <v>42</v>
      </c>
      <c r="M137" s="60">
        <v>43563</v>
      </c>
      <c r="N137">
        <v>42</v>
      </c>
      <c r="O137" s="60">
        <v>43563</v>
      </c>
      <c r="P137">
        <v>42</v>
      </c>
    </row>
    <row r="138" spans="1:16" x14ac:dyDescent="0.25">
      <c r="A138" s="60">
        <v>43542</v>
      </c>
      <c r="B138" s="61">
        <v>49</v>
      </c>
      <c r="F138" s="60">
        <v>43564</v>
      </c>
      <c r="G138">
        <v>41</v>
      </c>
      <c r="I138" s="60">
        <v>43577</v>
      </c>
      <c r="J138">
        <v>41</v>
      </c>
      <c r="K138" s="60">
        <v>43588</v>
      </c>
      <c r="L138">
        <v>41</v>
      </c>
      <c r="M138" s="60">
        <v>43564</v>
      </c>
      <c r="N138">
        <v>41</v>
      </c>
      <c r="O138" s="60">
        <v>43564</v>
      </c>
      <c r="P138">
        <v>41</v>
      </c>
    </row>
    <row r="139" spans="1:16" x14ac:dyDescent="0.25">
      <c r="A139" s="60">
        <v>43543</v>
      </c>
      <c r="B139" s="61">
        <v>48</v>
      </c>
      <c r="F139" s="60">
        <v>43565</v>
      </c>
      <c r="G139">
        <v>40</v>
      </c>
      <c r="I139" s="60">
        <v>43578</v>
      </c>
      <c r="J139">
        <v>40</v>
      </c>
      <c r="K139" s="60">
        <v>43591</v>
      </c>
      <c r="L139">
        <v>40</v>
      </c>
      <c r="M139" s="60">
        <v>43565</v>
      </c>
      <c r="N139">
        <v>40</v>
      </c>
      <c r="O139" s="60">
        <v>43565</v>
      </c>
      <c r="P139">
        <v>40</v>
      </c>
    </row>
    <row r="140" spans="1:16" x14ac:dyDescent="0.25">
      <c r="A140" s="60">
        <v>43544</v>
      </c>
      <c r="B140" s="61">
        <v>47</v>
      </c>
      <c r="F140" s="60">
        <v>43566</v>
      </c>
      <c r="G140">
        <v>39</v>
      </c>
      <c r="I140" s="60">
        <v>43579</v>
      </c>
      <c r="J140">
        <v>39</v>
      </c>
      <c r="K140" s="60">
        <v>43592</v>
      </c>
      <c r="L140">
        <v>39</v>
      </c>
      <c r="M140" s="60">
        <v>43566</v>
      </c>
      <c r="N140">
        <v>39</v>
      </c>
      <c r="O140" s="60">
        <v>43566</v>
      </c>
      <c r="P140">
        <v>39</v>
      </c>
    </row>
    <row r="141" spans="1:16" x14ac:dyDescent="0.25">
      <c r="A141" s="60">
        <v>43545</v>
      </c>
      <c r="B141" s="61">
        <v>46</v>
      </c>
      <c r="F141" s="60">
        <v>43567</v>
      </c>
      <c r="G141">
        <v>38</v>
      </c>
      <c r="I141" s="60">
        <v>43580</v>
      </c>
      <c r="J141">
        <v>38</v>
      </c>
      <c r="K141" s="60">
        <v>43593</v>
      </c>
      <c r="L141">
        <v>38</v>
      </c>
      <c r="M141" s="60">
        <v>43567</v>
      </c>
      <c r="N141">
        <v>38</v>
      </c>
      <c r="O141" s="60">
        <v>43567</v>
      </c>
      <c r="P141">
        <v>38</v>
      </c>
    </row>
    <row r="142" spans="1:16" x14ac:dyDescent="0.25">
      <c r="A142" s="60">
        <v>43549</v>
      </c>
      <c r="B142" s="61">
        <v>45</v>
      </c>
      <c r="F142" s="60">
        <v>43570</v>
      </c>
      <c r="G142">
        <v>37</v>
      </c>
      <c r="I142" s="60">
        <v>43581</v>
      </c>
      <c r="J142">
        <v>37</v>
      </c>
      <c r="K142" s="60">
        <v>43594</v>
      </c>
      <c r="L142">
        <v>37</v>
      </c>
      <c r="M142" s="60">
        <v>43570</v>
      </c>
      <c r="N142">
        <v>37</v>
      </c>
      <c r="O142" s="60">
        <v>43570</v>
      </c>
      <c r="P142">
        <v>37</v>
      </c>
    </row>
    <row r="143" spans="1:16" x14ac:dyDescent="0.25">
      <c r="A143" s="60">
        <v>43550</v>
      </c>
      <c r="B143" s="61">
        <v>44</v>
      </c>
      <c r="F143" s="60">
        <v>43571</v>
      </c>
      <c r="G143">
        <v>36</v>
      </c>
      <c r="I143" s="60">
        <v>43584</v>
      </c>
      <c r="J143">
        <v>36</v>
      </c>
      <c r="K143" s="60">
        <v>43595</v>
      </c>
      <c r="L143">
        <v>36</v>
      </c>
      <c r="M143" s="60">
        <v>43571</v>
      </c>
      <c r="N143">
        <v>36</v>
      </c>
      <c r="O143" s="60">
        <v>43571</v>
      </c>
      <c r="P143">
        <v>36</v>
      </c>
    </row>
    <row r="144" spans="1:16" x14ac:dyDescent="0.25">
      <c r="A144" s="60">
        <v>43551</v>
      </c>
      <c r="B144" s="61">
        <v>43</v>
      </c>
      <c r="F144" s="60">
        <v>43577</v>
      </c>
      <c r="G144">
        <v>35</v>
      </c>
      <c r="I144" s="60">
        <v>43585</v>
      </c>
      <c r="J144">
        <v>35</v>
      </c>
      <c r="K144" s="60">
        <v>43598</v>
      </c>
      <c r="L144">
        <v>35</v>
      </c>
      <c r="M144" s="60">
        <v>43577</v>
      </c>
      <c r="N144">
        <v>35</v>
      </c>
      <c r="O144" s="60">
        <v>43577</v>
      </c>
      <c r="P144">
        <v>35</v>
      </c>
    </row>
    <row r="145" spans="1:16" x14ac:dyDescent="0.25">
      <c r="A145" s="60">
        <v>43552</v>
      </c>
      <c r="B145" s="61">
        <v>42</v>
      </c>
      <c r="F145" s="60">
        <v>43578</v>
      </c>
      <c r="G145">
        <v>34</v>
      </c>
      <c r="I145" s="60">
        <v>43586</v>
      </c>
      <c r="J145">
        <v>34</v>
      </c>
      <c r="K145" s="60">
        <v>43599</v>
      </c>
      <c r="L145">
        <v>34</v>
      </c>
      <c r="M145" s="60">
        <v>43578</v>
      </c>
      <c r="N145">
        <v>34</v>
      </c>
      <c r="O145" s="60">
        <v>43578</v>
      </c>
      <c r="P145">
        <v>34</v>
      </c>
    </row>
    <row r="146" spans="1:16" x14ac:dyDescent="0.25">
      <c r="A146" s="60">
        <v>43553</v>
      </c>
      <c r="B146" s="61">
        <v>41</v>
      </c>
      <c r="F146" s="60">
        <v>43579</v>
      </c>
      <c r="G146">
        <v>33</v>
      </c>
      <c r="I146" s="60">
        <v>43587</v>
      </c>
      <c r="J146">
        <v>33</v>
      </c>
      <c r="K146" s="60">
        <v>43600</v>
      </c>
      <c r="L146">
        <v>33</v>
      </c>
      <c r="M146" s="60">
        <v>43579</v>
      </c>
      <c r="N146">
        <v>33</v>
      </c>
      <c r="O146" s="60">
        <v>43579</v>
      </c>
      <c r="P146">
        <v>33</v>
      </c>
    </row>
    <row r="147" spans="1:16" x14ac:dyDescent="0.25">
      <c r="A147" s="60">
        <v>43556</v>
      </c>
      <c r="B147" s="61">
        <v>40</v>
      </c>
      <c r="F147" s="60">
        <v>43580</v>
      </c>
      <c r="G147">
        <v>32</v>
      </c>
      <c r="I147" s="60">
        <v>43588</v>
      </c>
      <c r="J147">
        <v>32</v>
      </c>
      <c r="K147" s="60">
        <v>43601</v>
      </c>
      <c r="L147">
        <v>32</v>
      </c>
      <c r="M147" s="60">
        <v>43580</v>
      </c>
      <c r="N147">
        <v>32</v>
      </c>
      <c r="O147" s="60">
        <v>43580</v>
      </c>
      <c r="P147">
        <v>32</v>
      </c>
    </row>
    <row r="148" spans="1:16" x14ac:dyDescent="0.25">
      <c r="A148" s="60">
        <v>43557</v>
      </c>
      <c r="B148" s="61">
        <v>39</v>
      </c>
      <c r="F148" s="60">
        <v>43581</v>
      </c>
      <c r="G148">
        <v>31</v>
      </c>
      <c r="I148" s="60">
        <v>43591</v>
      </c>
      <c r="J148">
        <v>31</v>
      </c>
      <c r="K148" s="60">
        <v>43602</v>
      </c>
      <c r="L148">
        <v>31</v>
      </c>
      <c r="M148" s="60">
        <v>43581</v>
      </c>
      <c r="N148">
        <v>31</v>
      </c>
      <c r="O148" s="60">
        <v>43581</v>
      </c>
      <c r="P148">
        <v>31</v>
      </c>
    </row>
    <row r="149" spans="1:16" x14ac:dyDescent="0.25">
      <c r="A149" s="60">
        <v>43558</v>
      </c>
      <c r="B149" s="61">
        <v>38</v>
      </c>
      <c r="F149" s="60">
        <v>43584</v>
      </c>
      <c r="G149">
        <v>30</v>
      </c>
      <c r="I149" s="60">
        <v>43592</v>
      </c>
      <c r="J149">
        <v>30</v>
      </c>
      <c r="K149" s="60">
        <v>43605</v>
      </c>
      <c r="L149">
        <v>30</v>
      </c>
      <c r="M149" s="60">
        <v>43584</v>
      </c>
      <c r="N149">
        <v>30</v>
      </c>
      <c r="O149" s="60">
        <v>43584</v>
      </c>
      <c r="P149">
        <v>30</v>
      </c>
    </row>
    <row r="150" spans="1:16" x14ac:dyDescent="0.25">
      <c r="A150" s="60">
        <v>43559</v>
      </c>
      <c r="B150" s="61">
        <v>37</v>
      </c>
      <c r="F150" s="60">
        <v>43585</v>
      </c>
      <c r="G150">
        <v>29</v>
      </c>
      <c r="I150" s="60">
        <v>43593</v>
      </c>
      <c r="J150">
        <v>29</v>
      </c>
      <c r="K150" s="60">
        <v>43606</v>
      </c>
      <c r="L150">
        <v>29</v>
      </c>
      <c r="M150" s="60">
        <v>43585</v>
      </c>
      <c r="N150">
        <v>29</v>
      </c>
      <c r="O150" s="60">
        <v>43585</v>
      </c>
      <c r="P150">
        <v>29</v>
      </c>
    </row>
    <row r="151" spans="1:16" x14ac:dyDescent="0.25">
      <c r="A151" s="60">
        <v>43560</v>
      </c>
      <c r="B151" s="61">
        <v>36</v>
      </c>
      <c r="F151" s="60">
        <v>43586</v>
      </c>
      <c r="G151">
        <v>28</v>
      </c>
      <c r="I151" s="60">
        <v>43594</v>
      </c>
      <c r="J151">
        <v>28</v>
      </c>
      <c r="K151" s="60">
        <v>43607</v>
      </c>
      <c r="L151">
        <v>28</v>
      </c>
      <c r="M151" s="60">
        <v>43586</v>
      </c>
      <c r="N151">
        <v>28</v>
      </c>
      <c r="O151" s="60">
        <v>43586</v>
      </c>
      <c r="P151">
        <v>28</v>
      </c>
    </row>
    <row r="152" spans="1:16" x14ac:dyDescent="0.25">
      <c r="A152" s="60">
        <v>43563</v>
      </c>
      <c r="B152" s="61">
        <v>35</v>
      </c>
      <c r="F152" s="60">
        <v>43587</v>
      </c>
      <c r="G152">
        <v>27</v>
      </c>
      <c r="I152" s="60">
        <v>43595</v>
      </c>
      <c r="J152">
        <v>27</v>
      </c>
      <c r="K152" s="60">
        <v>43608</v>
      </c>
      <c r="L152">
        <v>27</v>
      </c>
      <c r="M152" s="60">
        <v>43587</v>
      </c>
      <c r="N152">
        <v>27</v>
      </c>
      <c r="O152" s="60">
        <v>43587</v>
      </c>
      <c r="P152">
        <v>27</v>
      </c>
    </row>
    <row r="153" spans="1:16" x14ac:dyDescent="0.25">
      <c r="A153" s="60">
        <v>43564</v>
      </c>
      <c r="B153" s="61">
        <v>34</v>
      </c>
      <c r="F153" s="60">
        <v>43588</v>
      </c>
      <c r="G153">
        <v>26</v>
      </c>
      <c r="I153" s="60">
        <v>43598</v>
      </c>
      <c r="J153">
        <v>26</v>
      </c>
      <c r="K153" s="60">
        <v>43609</v>
      </c>
      <c r="L153">
        <v>26</v>
      </c>
      <c r="M153" s="60">
        <v>43588</v>
      </c>
      <c r="N153">
        <v>26</v>
      </c>
      <c r="O153" s="60">
        <v>43588</v>
      </c>
      <c r="P153">
        <v>26</v>
      </c>
    </row>
    <row r="154" spans="1:16" x14ac:dyDescent="0.25">
      <c r="A154" s="60">
        <v>43565</v>
      </c>
      <c r="B154" s="61">
        <v>33</v>
      </c>
      <c r="F154" s="60">
        <v>43591</v>
      </c>
      <c r="G154">
        <v>25</v>
      </c>
      <c r="I154" s="60">
        <v>43599</v>
      </c>
      <c r="J154">
        <v>25</v>
      </c>
      <c r="K154" s="60">
        <v>43613</v>
      </c>
      <c r="L154">
        <v>25</v>
      </c>
      <c r="M154" s="60">
        <v>43591</v>
      </c>
      <c r="N154">
        <v>25</v>
      </c>
      <c r="O154" s="60">
        <v>43591</v>
      </c>
      <c r="P154">
        <v>25</v>
      </c>
    </row>
    <row r="155" spans="1:16" x14ac:dyDescent="0.25">
      <c r="A155" s="60">
        <v>43566</v>
      </c>
      <c r="B155" s="61">
        <v>32</v>
      </c>
      <c r="F155" s="60">
        <v>43592</v>
      </c>
      <c r="G155">
        <v>24</v>
      </c>
      <c r="I155" s="60">
        <v>43600</v>
      </c>
      <c r="J155">
        <v>24</v>
      </c>
      <c r="K155" s="60">
        <v>43614</v>
      </c>
      <c r="L155">
        <v>24</v>
      </c>
      <c r="M155" s="60">
        <v>43592</v>
      </c>
      <c r="N155">
        <v>24</v>
      </c>
      <c r="O155" s="60">
        <v>43592</v>
      </c>
      <c r="P155">
        <v>24</v>
      </c>
    </row>
    <row r="156" spans="1:16" x14ac:dyDescent="0.25">
      <c r="A156" s="60">
        <v>43567</v>
      </c>
      <c r="B156" s="61">
        <v>31</v>
      </c>
      <c r="F156" s="60">
        <v>43593</v>
      </c>
      <c r="G156">
        <v>23</v>
      </c>
      <c r="I156" s="60">
        <v>43601</v>
      </c>
      <c r="J156">
        <v>23</v>
      </c>
      <c r="K156" s="60">
        <v>43615</v>
      </c>
      <c r="L156">
        <v>23</v>
      </c>
      <c r="M156" s="60">
        <v>43593</v>
      </c>
      <c r="N156">
        <v>23</v>
      </c>
      <c r="O156" s="60">
        <v>43593</v>
      </c>
      <c r="P156">
        <v>23</v>
      </c>
    </row>
    <row r="157" spans="1:16" x14ac:dyDescent="0.25">
      <c r="A157" s="60">
        <v>43577</v>
      </c>
      <c r="B157" s="61">
        <v>30</v>
      </c>
      <c r="F157" s="60">
        <v>43594</v>
      </c>
      <c r="G157">
        <v>22</v>
      </c>
      <c r="I157" s="60">
        <v>43602</v>
      </c>
      <c r="J157">
        <v>22</v>
      </c>
      <c r="K157" s="60">
        <v>43616</v>
      </c>
      <c r="L157">
        <v>22</v>
      </c>
      <c r="M157" s="60">
        <v>43594</v>
      </c>
      <c r="N157">
        <v>22</v>
      </c>
      <c r="O157" s="60">
        <v>43594</v>
      </c>
      <c r="P157">
        <v>22</v>
      </c>
    </row>
    <row r="158" spans="1:16" x14ac:dyDescent="0.25">
      <c r="A158" s="60">
        <v>43578</v>
      </c>
      <c r="B158" s="61">
        <v>29</v>
      </c>
      <c r="F158" s="60">
        <v>43595</v>
      </c>
      <c r="G158">
        <v>21</v>
      </c>
      <c r="I158" s="60">
        <v>43623</v>
      </c>
      <c r="J158">
        <v>21</v>
      </c>
      <c r="K158" s="60">
        <v>43619</v>
      </c>
      <c r="L158">
        <v>21</v>
      </c>
      <c r="M158" s="60">
        <v>43595</v>
      </c>
      <c r="N158">
        <v>21</v>
      </c>
      <c r="O158" s="60">
        <v>43595</v>
      </c>
      <c r="P158">
        <v>21</v>
      </c>
    </row>
    <row r="159" spans="1:16" x14ac:dyDescent="0.25">
      <c r="A159" s="60">
        <v>43579</v>
      </c>
      <c r="B159" s="61">
        <v>28</v>
      </c>
      <c r="F159" s="60">
        <v>43598</v>
      </c>
      <c r="G159">
        <v>20</v>
      </c>
      <c r="I159" s="60">
        <v>43626</v>
      </c>
      <c r="J159">
        <v>20</v>
      </c>
      <c r="K159" s="60">
        <v>43620</v>
      </c>
      <c r="L159">
        <v>20</v>
      </c>
      <c r="M159" s="60">
        <v>43598</v>
      </c>
      <c r="N159">
        <v>20</v>
      </c>
      <c r="O159" s="60">
        <v>43598</v>
      </c>
      <c r="P159">
        <v>20</v>
      </c>
    </row>
    <row r="160" spans="1:16" x14ac:dyDescent="0.25">
      <c r="A160" s="60">
        <v>43580</v>
      </c>
      <c r="B160" s="61">
        <v>27</v>
      </c>
      <c r="F160" s="60">
        <v>43599</v>
      </c>
      <c r="G160">
        <v>19</v>
      </c>
      <c r="I160" s="60">
        <v>43627</v>
      </c>
      <c r="J160">
        <v>19</v>
      </c>
      <c r="K160" s="60">
        <v>43621</v>
      </c>
      <c r="L160">
        <v>19</v>
      </c>
      <c r="M160" s="60">
        <v>43599</v>
      </c>
      <c r="N160">
        <v>19</v>
      </c>
      <c r="O160" s="60">
        <v>43599</v>
      </c>
      <c r="P160">
        <v>19</v>
      </c>
    </row>
    <row r="161" spans="1:16" x14ac:dyDescent="0.25">
      <c r="A161" s="60">
        <v>43581</v>
      </c>
      <c r="B161" s="61">
        <v>26</v>
      </c>
      <c r="F161" s="60">
        <v>43600</v>
      </c>
      <c r="G161">
        <v>18</v>
      </c>
      <c r="I161" s="60">
        <v>43628</v>
      </c>
      <c r="J161">
        <v>18</v>
      </c>
      <c r="K161" s="60">
        <v>43622</v>
      </c>
      <c r="L161">
        <v>18</v>
      </c>
      <c r="M161" s="60">
        <v>43600</v>
      </c>
      <c r="N161">
        <v>18</v>
      </c>
      <c r="O161" s="60">
        <v>43600</v>
      </c>
      <c r="P161">
        <v>18</v>
      </c>
    </row>
    <row r="162" spans="1:16" x14ac:dyDescent="0.25">
      <c r="A162" s="60">
        <v>43584</v>
      </c>
      <c r="B162" s="61">
        <v>25</v>
      </c>
      <c r="F162" s="60">
        <v>43601</v>
      </c>
      <c r="G162">
        <v>17</v>
      </c>
      <c r="I162" s="60">
        <v>43629</v>
      </c>
      <c r="J162">
        <v>17</v>
      </c>
      <c r="L162">
        <v>17</v>
      </c>
      <c r="M162" s="60">
        <v>43601</v>
      </c>
      <c r="N162">
        <v>17</v>
      </c>
      <c r="O162" s="60">
        <v>43601</v>
      </c>
      <c r="P162">
        <v>17</v>
      </c>
    </row>
    <row r="163" spans="1:16" x14ac:dyDescent="0.25">
      <c r="A163" s="60">
        <v>43585</v>
      </c>
      <c r="B163" s="61">
        <v>24</v>
      </c>
      <c r="F163" s="60">
        <v>43602</v>
      </c>
      <c r="G163">
        <v>16</v>
      </c>
      <c r="I163" s="60">
        <v>43630</v>
      </c>
      <c r="J163">
        <v>16</v>
      </c>
      <c r="L163">
        <v>16</v>
      </c>
      <c r="M163" s="60">
        <v>43602</v>
      </c>
      <c r="N163">
        <v>16</v>
      </c>
      <c r="O163" s="60">
        <v>43602</v>
      </c>
      <c r="P163">
        <v>16</v>
      </c>
    </row>
    <row r="164" spans="1:16" x14ac:dyDescent="0.25">
      <c r="A164" s="60">
        <v>43586</v>
      </c>
      <c r="B164" s="61">
        <v>23</v>
      </c>
      <c r="F164" s="60">
        <v>43605</v>
      </c>
      <c r="G164">
        <v>15</v>
      </c>
      <c r="I164" s="60">
        <v>43633</v>
      </c>
      <c r="J164">
        <v>15</v>
      </c>
      <c r="L164">
        <v>15</v>
      </c>
      <c r="M164" s="60">
        <v>43605</v>
      </c>
      <c r="N164">
        <v>15</v>
      </c>
      <c r="O164" s="60">
        <v>43605</v>
      </c>
      <c r="P164">
        <v>15</v>
      </c>
    </row>
    <row r="165" spans="1:16" x14ac:dyDescent="0.25">
      <c r="A165" s="60">
        <v>43587</v>
      </c>
      <c r="B165" s="61">
        <v>22</v>
      </c>
      <c r="F165" s="60">
        <v>43606</v>
      </c>
      <c r="G165">
        <v>14</v>
      </c>
      <c r="I165" s="60">
        <v>43634</v>
      </c>
      <c r="J165">
        <v>14</v>
      </c>
      <c r="L165">
        <v>14</v>
      </c>
      <c r="M165" s="60">
        <v>43606</v>
      </c>
      <c r="N165">
        <v>14</v>
      </c>
      <c r="O165" s="60">
        <v>43606</v>
      </c>
      <c r="P165">
        <v>14</v>
      </c>
    </row>
    <row r="166" spans="1:16" x14ac:dyDescent="0.25">
      <c r="A166" s="60">
        <v>43588</v>
      </c>
      <c r="B166" s="61">
        <v>21</v>
      </c>
      <c r="F166" s="60">
        <v>43607</v>
      </c>
      <c r="G166">
        <v>13</v>
      </c>
      <c r="I166" s="60">
        <v>43635</v>
      </c>
      <c r="J166">
        <v>13</v>
      </c>
      <c r="L166">
        <v>13</v>
      </c>
      <c r="M166" s="60">
        <v>43607</v>
      </c>
      <c r="N166">
        <v>13</v>
      </c>
      <c r="O166" s="60">
        <v>43607</v>
      </c>
      <c r="P166">
        <v>13</v>
      </c>
    </row>
    <row r="167" spans="1:16" x14ac:dyDescent="0.25">
      <c r="A167" s="60">
        <v>43591</v>
      </c>
      <c r="B167" s="61">
        <v>20</v>
      </c>
      <c r="F167" s="60">
        <v>43608</v>
      </c>
      <c r="G167">
        <v>12</v>
      </c>
      <c r="I167" s="60">
        <v>43636</v>
      </c>
      <c r="J167">
        <v>12</v>
      </c>
      <c r="L167">
        <v>12</v>
      </c>
      <c r="M167" s="60">
        <v>43608</v>
      </c>
      <c r="N167">
        <v>12</v>
      </c>
      <c r="O167" s="60">
        <v>43608</v>
      </c>
      <c r="P167">
        <v>12</v>
      </c>
    </row>
    <row r="168" spans="1:16" x14ac:dyDescent="0.25">
      <c r="A168" s="60">
        <v>43592</v>
      </c>
      <c r="B168" s="61">
        <v>19</v>
      </c>
      <c r="F168" s="60">
        <v>43609</v>
      </c>
      <c r="G168">
        <v>11</v>
      </c>
      <c r="I168" s="60">
        <v>43637</v>
      </c>
      <c r="J168">
        <v>11</v>
      </c>
      <c r="L168">
        <v>11</v>
      </c>
      <c r="M168" s="60">
        <v>43609</v>
      </c>
      <c r="N168">
        <v>11</v>
      </c>
      <c r="O168" s="60">
        <v>43609</v>
      </c>
      <c r="P168">
        <v>11</v>
      </c>
    </row>
    <row r="169" spans="1:16" x14ac:dyDescent="0.25">
      <c r="A169" s="60">
        <v>43593</v>
      </c>
      <c r="B169" s="61">
        <v>18</v>
      </c>
      <c r="F169" s="60">
        <v>43613</v>
      </c>
      <c r="G169">
        <v>10</v>
      </c>
      <c r="I169" s="60">
        <v>43640</v>
      </c>
      <c r="J169">
        <v>10</v>
      </c>
      <c r="L169">
        <v>10</v>
      </c>
      <c r="M169" s="60">
        <v>43613</v>
      </c>
      <c r="N169">
        <v>10</v>
      </c>
      <c r="O169" s="60">
        <v>43613</v>
      </c>
      <c r="P169">
        <v>10</v>
      </c>
    </row>
    <row r="170" spans="1:16" x14ac:dyDescent="0.25">
      <c r="A170" s="60">
        <v>43594</v>
      </c>
      <c r="B170" s="61">
        <v>17</v>
      </c>
      <c r="F170" s="60">
        <v>43614</v>
      </c>
      <c r="G170">
        <v>9</v>
      </c>
      <c r="I170" s="60">
        <v>43641</v>
      </c>
      <c r="J170">
        <v>9</v>
      </c>
      <c r="L170">
        <v>9</v>
      </c>
      <c r="M170" s="60">
        <v>43614</v>
      </c>
      <c r="N170">
        <v>9</v>
      </c>
      <c r="O170" s="60">
        <v>43614</v>
      </c>
      <c r="P170">
        <v>9</v>
      </c>
    </row>
    <row r="171" spans="1:16" x14ac:dyDescent="0.25">
      <c r="A171" s="60">
        <v>43595</v>
      </c>
      <c r="B171" s="61">
        <v>16</v>
      </c>
      <c r="F171" s="60">
        <v>43615</v>
      </c>
      <c r="G171">
        <v>8</v>
      </c>
      <c r="I171" s="60">
        <v>43642</v>
      </c>
      <c r="J171">
        <v>8</v>
      </c>
      <c r="L171">
        <v>8</v>
      </c>
      <c r="M171" s="60">
        <v>43615</v>
      </c>
      <c r="N171">
        <v>8</v>
      </c>
      <c r="O171" s="60">
        <v>43615</v>
      </c>
      <c r="P171">
        <v>8</v>
      </c>
    </row>
    <row r="172" spans="1:16" x14ac:dyDescent="0.25">
      <c r="A172" s="60">
        <v>43598</v>
      </c>
      <c r="B172" s="61">
        <v>15</v>
      </c>
      <c r="F172" s="60">
        <v>43616</v>
      </c>
      <c r="G172">
        <v>7</v>
      </c>
      <c r="I172" s="60">
        <v>43643</v>
      </c>
      <c r="J172">
        <v>7</v>
      </c>
      <c r="L172">
        <v>7</v>
      </c>
      <c r="M172" s="60">
        <v>43616</v>
      </c>
      <c r="N172">
        <v>7</v>
      </c>
      <c r="O172" s="60">
        <v>43616</v>
      </c>
      <c r="P172">
        <v>7</v>
      </c>
    </row>
    <row r="173" spans="1:16" x14ac:dyDescent="0.25">
      <c r="A173" s="60">
        <v>43599</v>
      </c>
      <c r="B173" s="61">
        <v>14</v>
      </c>
      <c r="F173" s="60">
        <v>43619</v>
      </c>
      <c r="G173">
        <v>6</v>
      </c>
      <c r="I173" s="60">
        <v>43644</v>
      </c>
      <c r="J173">
        <v>6</v>
      </c>
      <c r="L173">
        <v>6</v>
      </c>
      <c r="M173" s="60">
        <v>43619</v>
      </c>
      <c r="N173">
        <v>6</v>
      </c>
      <c r="O173" s="60">
        <v>43619</v>
      </c>
      <c r="P173">
        <v>6</v>
      </c>
    </row>
    <row r="174" spans="1:16" x14ac:dyDescent="0.25">
      <c r="A174" s="60">
        <v>43600</v>
      </c>
      <c r="B174" s="61">
        <v>13</v>
      </c>
      <c r="F174" s="60">
        <v>43620</v>
      </c>
      <c r="G174">
        <v>5</v>
      </c>
      <c r="I174" s="60">
        <v>43647</v>
      </c>
      <c r="J174">
        <v>5</v>
      </c>
      <c r="L174">
        <v>5</v>
      </c>
      <c r="M174" s="60">
        <v>43620</v>
      </c>
      <c r="N174">
        <v>5</v>
      </c>
      <c r="O174" s="60">
        <v>43620</v>
      </c>
      <c r="P174">
        <v>5</v>
      </c>
    </row>
    <row r="175" spans="1:16" x14ac:dyDescent="0.25">
      <c r="A175" s="60">
        <v>43601</v>
      </c>
      <c r="B175" s="61">
        <v>12</v>
      </c>
      <c r="F175" s="60">
        <v>43621</v>
      </c>
      <c r="G175">
        <v>4</v>
      </c>
      <c r="I175" s="60">
        <v>43648</v>
      </c>
      <c r="J175">
        <v>4</v>
      </c>
      <c r="L175">
        <v>4</v>
      </c>
      <c r="M175" s="60">
        <v>43621</v>
      </c>
      <c r="N175">
        <v>4</v>
      </c>
      <c r="O175" s="60">
        <v>43621</v>
      </c>
      <c r="P175">
        <v>4</v>
      </c>
    </row>
    <row r="176" spans="1:16" x14ac:dyDescent="0.25">
      <c r="A176" s="60">
        <v>43602</v>
      </c>
      <c r="B176" s="61">
        <v>11</v>
      </c>
      <c r="F176" s="60">
        <v>43622</v>
      </c>
      <c r="G176">
        <v>3</v>
      </c>
      <c r="J176">
        <v>3</v>
      </c>
      <c r="L176">
        <v>3</v>
      </c>
      <c r="M176" s="60">
        <v>43622</v>
      </c>
      <c r="N176">
        <v>3</v>
      </c>
      <c r="O176" s="60">
        <v>43622</v>
      </c>
      <c r="P176">
        <v>3</v>
      </c>
    </row>
    <row r="177" spans="1:2" x14ac:dyDescent="0.25">
      <c r="A177" s="60">
        <v>43605</v>
      </c>
      <c r="B177" s="61">
        <v>10</v>
      </c>
    </row>
    <row r="178" spans="1:2" x14ac:dyDescent="0.25">
      <c r="A178" s="60">
        <v>43606</v>
      </c>
      <c r="B178" s="61">
        <v>9</v>
      </c>
    </row>
    <row r="179" spans="1:2" x14ac:dyDescent="0.25">
      <c r="A179" s="60">
        <v>43607</v>
      </c>
      <c r="B179" s="61">
        <v>8</v>
      </c>
    </row>
    <row r="180" spans="1:2" x14ac:dyDescent="0.25">
      <c r="A180" s="60">
        <v>43608</v>
      </c>
      <c r="B180" s="61">
        <v>7</v>
      </c>
    </row>
    <row r="181" spans="1:2" x14ac:dyDescent="0.25">
      <c r="A181" s="60">
        <v>43609</v>
      </c>
      <c r="B181" s="61">
        <v>6</v>
      </c>
    </row>
    <row r="182" spans="1:2" x14ac:dyDescent="0.25">
      <c r="A182" s="60">
        <v>43613</v>
      </c>
      <c r="B182" s="61">
        <v>5</v>
      </c>
    </row>
    <row r="183" spans="1:2" x14ac:dyDescent="0.25">
      <c r="A183" s="60">
        <v>43614</v>
      </c>
      <c r="B183" s="61">
        <v>4</v>
      </c>
    </row>
    <row r="184" spans="1:2" x14ac:dyDescent="0.25">
      <c r="A184" s="60">
        <v>43615</v>
      </c>
      <c r="B184" s="61">
        <v>3</v>
      </c>
    </row>
    <row r="185" spans="1:2" x14ac:dyDescent="0.25">
      <c r="A185" s="60">
        <v>43616</v>
      </c>
      <c r="B185" s="61">
        <v>2</v>
      </c>
    </row>
    <row r="186" spans="1:2" x14ac:dyDescent="0.25">
      <c r="A186" s="60">
        <v>43619</v>
      </c>
      <c r="B186" s="61">
        <v>1</v>
      </c>
    </row>
    <row r="187" spans="1:2" x14ac:dyDescent="0.25">
      <c r="A187" s="60"/>
      <c r="B187" s="61"/>
    </row>
    <row r="188" spans="1:2" x14ac:dyDescent="0.25">
      <c r="A188" s="60"/>
      <c r="B188" s="61"/>
    </row>
    <row r="189" spans="1:2" x14ac:dyDescent="0.25">
      <c r="A189" s="60"/>
      <c r="B189" s="61"/>
    </row>
    <row r="190" spans="1:2" x14ac:dyDescent="0.25">
      <c r="A190" s="60"/>
      <c r="B190" s="61"/>
    </row>
    <row r="191" spans="1:2" x14ac:dyDescent="0.25">
      <c r="A191" s="60"/>
      <c r="B191" s="61"/>
    </row>
    <row r="192" spans="1:2" x14ac:dyDescent="0.25">
      <c r="A192" s="60"/>
      <c r="B192" s="61"/>
    </row>
    <row r="193" spans="1:2" x14ac:dyDescent="0.25">
      <c r="A193" s="60"/>
      <c r="B193" s="61"/>
    </row>
    <row r="194" spans="1:2" x14ac:dyDescent="0.25">
      <c r="A194" s="60"/>
      <c r="B194" s="61"/>
    </row>
    <row r="195" spans="1:2" x14ac:dyDescent="0.25">
      <c r="A195" s="60"/>
      <c r="B195" s="61"/>
    </row>
    <row r="196" spans="1:2" x14ac:dyDescent="0.25">
      <c r="A196" s="60"/>
      <c r="B196" s="61"/>
    </row>
    <row r="197" spans="1:2" x14ac:dyDescent="0.25">
      <c r="A197" s="60"/>
      <c r="B197" s="61"/>
    </row>
    <row r="198" spans="1:2" x14ac:dyDescent="0.25">
      <c r="A198" s="60"/>
      <c r="B198" s="61"/>
    </row>
    <row r="199" spans="1:2" x14ac:dyDescent="0.25">
      <c r="A199" s="60"/>
      <c r="B199" s="61"/>
    </row>
    <row r="200" spans="1:2" x14ac:dyDescent="0.25">
      <c r="A200" s="60"/>
      <c r="B200" s="61"/>
    </row>
    <row r="201" spans="1:2" x14ac:dyDescent="0.25">
      <c r="A201" s="60"/>
      <c r="B201" s="61"/>
    </row>
    <row r="202" spans="1:2" x14ac:dyDescent="0.25">
      <c r="A202" s="60"/>
      <c r="B202" s="61"/>
    </row>
    <row r="203" spans="1:2" x14ac:dyDescent="0.25">
      <c r="A203" s="60"/>
      <c r="B203" s="61"/>
    </row>
    <row r="204" spans="1:2" x14ac:dyDescent="0.25">
      <c r="A204" s="60"/>
      <c r="B204" s="61"/>
    </row>
    <row r="205" spans="1:2" x14ac:dyDescent="0.25">
      <c r="A205" s="60"/>
      <c r="B205" s="61"/>
    </row>
    <row r="206" spans="1:2" x14ac:dyDescent="0.25">
      <c r="A206" s="60"/>
      <c r="B206" s="61"/>
    </row>
    <row r="207" spans="1:2" x14ac:dyDescent="0.25">
      <c r="A207" s="60"/>
      <c r="B207" s="61"/>
    </row>
    <row r="208" spans="1:2" x14ac:dyDescent="0.25">
      <c r="A208" s="60"/>
      <c r="B208" s="61"/>
    </row>
    <row r="209" spans="1:2" x14ac:dyDescent="0.25">
      <c r="A209" s="60"/>
      <c r="B209" s="61"/>
    </row>
    <row r="210" spans="1:2" x14ac:dyDescent="0.25">
      <c r="A210" s="60"/>
      <c r="B210" s="61"/>
    </row>
    <row r="211" spans="1:2" x14ac:dyDescent="0.25">
      <c r="A211" s="60"/>
      <c r="B211" s="61"/>
    </row>
    <row r="212" spans="1:2" x14ac:dyDescent="0.25">
      <c r="A212" s="60"/>
      <c r="B212" s="61"/>
    </row>
    <row r="213" spans="1:2" x14ac:dyDescent="0.25">
      <c r="A213" s="60"/>
      <c r="B213" s="61"/>
    </row>
    <row r="214" spans="1:2" x14ac:dyDescent="0.25">
      <c r="A214" s="60"/>
      <c r="B214" s="61"/>
    </row>
    <row r="215" spans="1:2" x14ac:dyDescent="0.25">
      <c r="A215" s="60"/>
      <c r="B215" s="61"/>
    </row>
    <row r="216" spans="1:2" x14ac:dyDescent="0.25">
      <c r="A216" s="60"/>
      <c r="B216" s="61"/>
    </row>
    <row r="217" spans="1:2" x14ac:dyDescent="0.25">
      <c r="A217" s="60"/>
      <c r="B217" s="61"/>
    </row>
    <row r="218" spans="1:2" x14ac:dyDescent="0.25">
      <c r="A218" s="60"/>
      <c r="B218" s="61"/>
    </row>
    <row r="219" spans="1:2" x14ac:dyDescent="0.25">
      <c r="A219" s="60"/>
      <c r="B219" s="61"/>
    </row>
    <row r="220" spans="1:2" x14ac:dyDescent="0.25">
      <c r="A220" s="60"/>
      <c r="B220" s="61"/>
    </row>
    <row r="221" spans="1:2" x14ac:dyDescent="0.25">
      <c r="A221" s="60"/>
      <c r="B221" s="61"/>
    </row>
    <row r="222" spans="1:2" x14ac:dyDescent="0.25">
      <c r="A222" s="60"/>
      <c r="B222" s="61"/>
    </row>
    <row r="223" spans="1:2" x14ac:dyDescent="0.25">
      <c r="A223" s="60"/>
      <c r="B223" s="61"/>
    </row>
    <row r="224" spans="1:2" x14ac:dyDescent="0.25">
      <c r="A224" s="60"/>
      <c r="B224" s="61"/>
    </row>
    <row r="225" spans="1:2" x14ac:dyDescent="0.25">
      <c r="A225" s="60"/>
      <c r="B225" s="61"/>
    </row>
    <row r="226" spans="1:2" x14ac:dyDescent="0.25">
      <c r="A226" s="60"/>
      <c r="B226" s="61"/>
    </row>
    <row r="227" spans="1:2" x14ac:dyDescent="0.25">
      <c r="A227" s="60"/>
      <c r="B227" s="61"/>
    </row>
    <row r="228" spans="1:2" x14ac:dyDescent="0.25">
      <c r="A228" s="60"/>
      <c r="B228" s="61"/>
    </row>
    <row r="229" spans="1:2" x14ac:dyDescent="0.25">
      <c r="A229" s="60"/>
      <c r="B229" s="61"/>
    </row>
    <row r="230" spans="1:2" x14ac:dyDescent="0.25">
      <c r="A230" s="60"/>
      <c r="B230" s="61"/>
    </row>
    <row r="231" spans="1:2" x14ac:dyDescent="0.25">
      <c r="A231" s="60"/>
      <c r="B231" s="61"/>
    </row>
    <row r="232" spans="1:2" x14ac:dyDescent="0.25">
      <c r="A232" s="60"/>
      <c r="B232" s="61"/>
    </row>
    <row r="233" spans="1:2" x14ac:dyDescent="0.25">
      <c r="A233" s="60"/>
      <c r="B233" s="61"/>
    </row>
    <row r="234" spans="1:2" x14ac:dyDescent="0.25">
      <c r="A234" s="60"/>
      <c r="B234" s="61"/>
    </row>
    <row r="235" spans="1:2" x14ac:dyDescent="0.25">
      <c r="A235" s="60"/>
      <c r="B235" s="61"/>
    </row>
    <row r="236" spans="1:2" x14ac:dyDescent="0.25">
      <c r="A236" s="60"/>
      <c r="B236" s="61"/>
    </row>
    <row r="237" spans="1:2" x14ac:dyDescent="0.25">
      <c r="A237" s="60"/>
      <c r="B237" s="61"/>
    </row>
    <row r="238" spans="1:2" x14ac:dyDescent="0.25">
      <c r="A238" s="60"/>
      <c r="B238" s="61"/>
    </row>
    <row r="239" spans="1:2" x14ac:dyDescent="0.25">
      <c r="A239" s="60"/>
      <c r="B239" s="61"/>
    </row>
    <row r="240" spans="1:2" x14ac:dyDescent="0.25">
      <c r="A240" s="60"/>
      <c r="B240" s="61"/>
    </row>
    <row r="241" spans="1:2" x14ac:dyDescent="0.25">
      <c r="A241" s="60"/>
      <c r="B241" s="61"/>
    </row>
    <row r="242" spans="1:2" x14ac:dyDescent="0.25">
      <c r="A242" s="60"/>
      <c r="B242" s="61"/>
    </row>
    <row r="243" spans="1:2" x14ac:dyDescent="0.25">
      <c r="A243" s="60"/>
      <c r="B243" s="61"/>
    </row>
    <row r="244" spans="1:2" x14ac:dyDescent="0.25">
      <c r="A244" s="60"/>
      <c r="B244" s="61"/>
    </row>
    <row r="245" spans="1:2" x14ac:dyDescent="0.25">
      <c r="A245" s="60"/>
      <c r="B245" s="61"/>
    </row>
    <row r="246" spans="1:2" x14ac:dyDescent="0.25">
      <c r="A246" s="60"/>
      <c r="B246" s="61"/>
    </row>
    <row r="247" spans="1:2" x14ac:dyDescent="0.25">
      <c r="A247" s="60"/>
      <c r="B247" s="61"/>
    </row>
    <row r="248" spans="1:2" x14ac:dyDescent="0.25">
      <c r="A248" s="60"/>
      <c r="B248" s="61"/>
    </row>
    <row r="249" spans="1:2" x14ac:dyDescent="0.25">
      <c r="A249" s="60"/>
      <c r="B249" s="61"/>
    </row>
    <row r="250" spans="1:2" x14ac:dyDescent="0.25">
      <c r="A250" s="60"/>
      <c r="B250" s="61"/>
    </row>
    <row r="251" spans="1:2" x14ac:dyDescent="0.25">
      <c r="A251" s="60"/>
      <c r="B251" s="61"/>
    </row>
    <row r="252" spans="1:2" x14ac:dyDescent="0.25">
      <c r="A252" s="60"/>
      <c r="B252" s="61"/>
    </row>
    <row r="253" spans="1:2" x14ac:dyDescent="0.25">
      <c r="A253" s="60"/>
      <c r="B253" s="61"/>
    </row>
    <row r="254" spans="1:2" x14ac:dyDescent="0.25">
      <c r="A254" s="60"/>
      <c r="B254" s="61"/>
    </row>
    <row r="255" spans="1:2" x14ac:dyDescent="0.25">
      <c r="A255" s="60"/>
      <c r="B255" s="61"/>
    </row>
    <row r="256" spans="1:2" x14ac:dyDescent="0.25">
      <c r="A256" s="60"/>
      <c r="B256" s="61"/>
    </row>
    <row r="257" spans="1:2" x14ac:dyDescent="0.25">
      <c r="A257" s="60"/>
      <c r="B257" s="61"/>
    </row>
    <row r="258" spans="1:2" x14ac:dyDescent="0.25">
      <c r="A258" s="60"/>
      <c r="B258" s="61"/>
    </row>
    <row r="259" spans="1:2" x14ac:dyDescent="0.25">
      <c r="A259" s="60"/>
      <c r="B259" s="61"/>
    </row>
    <row r="260" spans="1:2" x14ac:dyDescent="0.25">
      <c r="A260" s="60"/>
      <c r="B260" s="61"/>
    </row>
    <row r="261" spans="1:2" x14ac:dyDescent="0.25">
      <c r="A261" s="60"/>
      <c r="B261" s="61"/>
    </row>
    <row r="262" spans="1:2" x14ac:dyDescent="0.25">
      <c r="A262" s="60"/>
      <c r="B262" s="61"/>
    </row>
    <row r="263" spans="1:2" x14ac:dyDescent="0.25">
      <c r="A263" s="60"/>
      <c r="B263" s="61"/>
    </row>
    <row r="264" spans="1:2" x14ac:dyDescent="0.25">
      <c r="A264" s="60"/>
      <c r="B264" s="61"/>
    </row>
    <row r="265" spans="1:2" x14ac:dyDescent="0.25">
      <c r="A265" s="60"/>
      <c r="B265" s="61"/>
    </row>
    <row r="266" spans="1:2" x14ac:dyDescent="0.25">
      <c r="A266" s="60"/>
      <c r="B266" s="61"/>
    </row>
    <row r="267" spans="1:2" x14ac:dyDescent="0.25">
      <c r="A267" s="60"/>
      <c r="B267" s="61"/>
    </row>
    <row r="268" spans="1:2" x14ac:dyDescent="0.25">
      <c r="A268" s="60"/>
      <c r="B268" s="61"/>
    </row>
    <row r="269" spans="1:2" x14ac:dyDescent="0.25">
      <c r="A269" s="60"/>
      <c r="B269" s="61"/>
    </row>
    <row r="270" spans="1:2" x14ac:dyDescent="0.25">
      <c r="A270" s="60"/>
      <c r="B270" s="61"/>
    </row>
    <row r="271" spans="1:2" x14ac:dyDescent="0.25">
      <c r="A271" s="60"/>
      <c r="B271" s="61"/>
    </row>
    <row r="272" spans="1:2" x14ac:dyDescent="0.25">
      <c r="A272" s="60"/>
      <c r="B272" s="61"/>
    </row>
    <row r="273" spans="1:2" x14ac:dyDescent="0.25">
      <c r="A273" s="60"/>
      <c r="B273" s="61"/>
    </row>
    <row r="274" spans="1:2" x14ac:dyDescent="0.25">
      <c r="A274" s="60"/>
      <c r="B274" s="61"/>
    </row>
    <row r="275" spans="1:2" x14ac:dyDescent="0.25">
      <c r="A275" s="60"/>
      <c r="B275" s="61"/>
    </row>
    <row r="276" spans="1:2" x14ac:dyDescent="0.25">
      <c r="A276" s="60"/>
      <c r="B276" s="61"/>
    </row>
    <row r="277" spans="1:2" x14ac:dyDescent="0.25">
      <c r="A277" s="60"/>
      <c r="B277" s="61"/>
    </row>
    <row r="278" spans="1:2" x14ac:dyDescent="0.25">
      <c r="A278" s="60"/>
      <c r="B278" s="61"/>
    </row>
    <row r="279" spans="1:2" x14ac:dyDescent="0.25">
      <c r="A279" s="60"/>
      <c r="B279" s="61"/>
    </row>
    <row r="280" spans="1:2" x14ac:dyDescent="0.25">
      <c r="A280" s="60"/>
      <c r="B280" s="61"/>
    </row>
    <row r="281" spans="1:2" x14ac:dyDescent="0.25">
      <c r="A281" s="60"/>
      <c r="B281" s="61"/>
    </row>
    <row r="282" spans="1:2" x14ac:dyDescent="0.25">
      <c r="A282" s="60"/>
      <c r="B282" s="61"/>
    </row>
  </sheetData>
  <sheetProtection algorithmName="SHA-512" hashValue="UNEmqPkEt5hP748IBnOCCODApJllURBqmGqWafHvfmxrMtKWX7FpsF6uphTupZEJUUkAoHmsIgiPDPQF/VdCpg==" saltValue="FXDw0Fx8Gcoom2UCNl78YA==" spinCount="100000" sheet="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21</vt:i4>
      </vt:variant>
    </vt:vector>
  </HeadingPairs>
  <TitlesOfParts>
    <vt:vector size="27" baseType="lpstr">
      <vt:lpstr>Instructions</vt:lpstr>
      <vt:lpstr>Location A</vt:lpstr>
      <vt:lpstr>Location B</vt:lpstr>
      <vt:lpstr>Combined</vt:lpstr>
      <vt:lpstr>Calendars</vt:lpstr>
      <vt:lpstr>Sheet1</vt:lpstr>
      <vt:lpstr>AprOffSet</vt:lpstr>
      <vt:lpstr>AugOffSet</vt:lpstr>
      <vt:lpstr>BegCalYear</vt:lpstr>
      <vt:lpstr>CalendarYear</vt:lpstr>
      <vt:lpstr>Contract</vt:lpstr>
      <vt:lpstr>DecOffSet</vt:lpstr>
      <vt:lpstr>EndCalYear</vt:lpstr>
      <vt:lpstr>FebOffSet</vt:lpstr>
      <vt:lpstr>JanOffSet</vt:lpstr>
      <vt:lpstr>July1OffSet</vt:lpstr>
      <vt:lpstr>JulyOffSet</vt:lpstr>
      <vt:lpstr>JuneOffSet</vt:lpstr>
      <vt:lpstr>MarOffSet</vt:lpstr>
      <vt:lpstr>MayOffSet</vt:lpstr>
      <vt:lpstr>NovOffSet</vt:lpstr>
      <vt:lpstr>OctOffSet</vt:lpstr>
      <vt:lpstr>Combined!Print_Area</vt:lpstr>
      <vt:lpstr>Instructions!Print_Area</vt:lpstr>
      <vt:lpstr>'Location A'!Print_Area</vt:lpstr>
      <vt:lpstr>'Location B'!Print_Area</vt:lpstr>
      <vt:lpstr>SeptOffSet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Brittany Bauer</dc:creator>
  <cp:lastModifiedBy>Brittany Bauer</cp:lastModifiedBy>
  <cp:lastPrinted>2023-05-01T16:01:11Z</cp:lastPrinted>
  <dcterms:created xsi:type="dcterms:W3CDTF">2018-08-15T17:17:49Z</dcterms:created>
  <dcterms:modified xsi:type="dcterms:W3CDTF">2026-04-10T14:39:52Z</dcterms:modified>
</cp:coreProperties>
</file>